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8_{DD38BF91-E91B-4FCA-B057-B1097BD794D3}" xr6:coauthVersionLast="47" xr6:coauthVersionMax="47" xr10:uidLastSave="{00000000-0000-0000-0000-000000000000}"/>
  <bookViews>
    <workbookView xWindow="-108" yWindow="-108" windowWidth="23256" windowHeight="12720" tabRatio="733" firstSheet="8" activeTab="8" xr2:uid="{00000000-000D-0000-FFFF-FFFF00000000}"/>
  </bookViews>
  <sheets>
    <sheet name="Ver1_総括表（契約のみ）" sheetId="6" state="hidden" r:id="rId1"/>
    <sheet name="Ver1_オンライン（2021年度1回・2022年度1回）" sheetId="5" state="hidden" r:id="rId2"/>
    <sheet name="Ver1ハイブリッド（2022年度2回目、2023年度1回目)" sheetId="8" state="hidden" r:id="rId3"/>
    <sheet name="Ver1_訪日（2023年度2回3回）" sheetId="7" state="hidden" r:id="rId4"/>
    <sheet name="Ver2_総括表（契約のみ）" sheetId="11" state="hidden" r:id="rId5"/>
    <sheet name="Ver2_全訪日（2023年度2回3回）" sheetId="10" state="hidden" r:id="rId6"/>
    <sheet name="Ver2_27泊28日の日程表" sheetId="12" state="hidden" r:id="rId7"/>
    <sheet name="総括表" sheetId="22" r:id="rId8"/>
    <sheet name="①現地研修（1回実施に係る費用）" sheetId="21" r:id="rId9"/>
    <sheet name="②訪日研修（1回実施に係る費用）" sheetId="14" r:id="rId10"/>
  </sheets>
  <definedNames>
    <definedName name="_xlnm.Print_Area" localSheetId="1">'Ver1_オンライン（2021年度1回・2022年度1回）'!$A$1:$N$47</definedName>
    <definedName name="_xlnm.Print_Area" localSheetId="7">総括表!$A$2:$H$56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22" l="1"/>
  <c r="G43" i="22"/>
  <c r="G36" i="22"/>
  <c r="G37" i="22"/>
  <c r="I15" i="14"/>
  <c r="G55" i="22" l="1"/>
  <c r="G52" i="22"/>
  <c r="I9" i="14"/>
  <c r="I18" i="14"/>
  <c r="I29" i="14"/>
  <c r="G38" i="22"/>
  <c r="G22" i="22"/>
  <c r="G21" i="22"/>
  <c r="G20" i="22"/>
  <c r="G23" i="22"/>
  <c r="G24" i="22"/>
  <c r="G25" i="22" l="1"/>
  <c r="G29" i="22" s="1"/>
  <c r="G31" i="22" l="1"/>
  <c r="I7" i="21" l="1"/>
  <c r="I6" i="21"/>
  <c r="I5" i="21"/>
  <c r="I13" i="21"/>
  <c r="I12" i="21"/>
  <c r="I11" i="21"/>
  <c r="I9" i="21"/>
  <c r="I8" i="21"/>
  <c r="I4" i="21"/>
  <c r="I3" i="21"/>
  <c r="I21" i="14"/>
  <c r="I22" i="14"/>
  <c r="I25" i="14"/>
  <c r="I10" i="14"/>
  <c r="I12" i="14"/>
  <c r="I13" i="14"/>
  <c r="I6" i="14"/>
  <c r="I16" i="14"/>
  <c r="I8" i="14"/>
  <c r="I7" i="14"/>
  <c r="I23" i="14"/>
  <c r="I26" i="14"/>
  <c r="I27" i="14"/>
  <c r="I5" i="14"/>
  <c r="I4" i="14"/>
  <c r="I10" i="21" l="1"/>
  <c r="I2" i="21"/>
  <c r="I30" i="14" l="1"/>
  <c r="I31" i="14"/>
  <c r="I28" i="14" l="1"/>
  <c r="I19" i="14" l="1"/>
  <c r="I17" i="14"/>
  <c r="I20" i="14"/>
  <c r="I14" i="14"/>
  <c r="I24" i="14"/>
  <c r="I11" i="14" l="1"/>
  <c r="I3" i="14" s="1"/>
  <c r="D17" i="10"/>
  <c r="D6" i="10"/>
  <c r="D5" i="10"/>
  <c r="Q31" i="10"/>
  <c r="L31" i="10"/>
  <c r="K27" i="10"/>
  <c r="P26" i="10"/>
  <c r="K26" i="10"/>
  <c r="G26" i="10"/>
  <c r="P25" i="10"/>
  <c r="K25" i="10"/>
  <c r="G25" i="10"/>
  <c r="P24" i="10"/>
  <c r="K24" i="10"/>
  <c r="K23" i="10" s="1"/>
  <c r="G24" i="10"/>
  <c r="P23" i="10"/>
  <c r="P28" i="10" s="1"/>
  <c r="O23" i="10"/>
  <c r="J23" i="10"/>
  <c r="F23" i="10"/>
  <c r="P22" i="10"/>
  <c r="K22" i="10"/>
  <c r="G22" i="10"/>
  <c r="Q22" i="10" s="1"/>
  <c r="G21" i="10"/>
  <c r="P20" i="10"/>
  <c r="G20" i="10"/>
  <c r="H20" i="10" s="1"/>
  <c r="K20" i="10" s="1"/>
  <c r="L20" i="10" s="1"/>
  <c r="M19" i="10"/>
  <c r="P19" i="10" s="1"/>
  <c r="G19" i="10"/>
  <c r="H19" i="10" s="1"/>
  <c r="K19" i="10" s="1"/>
  <c r="L19" i="10" s="1"/>
  <c r="M18" i="10"/>
  <c r="P18" i="10" s="1"/>
  <c r="H18" i="10"/>
  <c r="K18" i="10" s="1"/>
  <c r="G18" i="10"/>
  <c r="M17" i="10"/>
  <c r="P17" i="10" s="1"/>
  <c r="H17" i="10"/>
  <c r="K17" i="10" s="1"/>
  <c r="G17" i="10"/>
  <c r="P16" i="10"/>
  <c r="K16" i="10"/>
  <c r="G16" i="10"/>
  <c r="P15" i="10"/>
  <c r="K15" i="10"/>
  <c r="G15" i="10"/>
  <c r="P14" i="10"/>
  <c r="K14" i="10"/>
  <c r="G14" i="10"/>
  <c r="P13" i="10"/>
  <c r="K13" i="10"/>
  <c r="G13" i="10"/>
  <c r="P12" i="10"/>
  <c r="K12" i="10"/>
  <c r="G12" i="10"/>
  <c r="P11" i="10"/>
  <c r="K11" i="10"/>
  <c r="G11" i="10"/>
  <c r="P10" i="10"/>
  <c r="K10" i="10"/>
  <c r="G10" i="10"/>
  <c r="P9" i="10"/>
  <c r="K9" i="10"/>
  <c r="G9" i="10"/>
  <c r="P8" i="10"/>
  <c r="K8" i="10"/>
  <c r="G8" i="10"/>
  <c r="M7" i="10"/>
  <c r="P7" i="10" s="1"/>
  <c r="H7" i="10"/>
  <c r="K7" i="10" s="1"/>
  <c r="G7" i="10"/>
  <c r="M6" i="10"/>
  <c r="H6" i="10"/>
  <c r="K6" i="10" s="1"/>
  <c r="G6" i="10"/>
  <c r="M5" i="10"/>
  <c r="H5" i="10"/>
  <c r="K5" i="10" s="1"/>
  <c r="G5" i="10"/>
  <c r="N4" i="10"/>
  <c r="K4" i="10"/>
  <c r="G4" i="10"/>
  <c r="S1" i="10"/>
  <c r="G42" i="22" l="1"/>
  <c r="G44" i="22" s="1"/>
  <c r="G46" i="22" s="1"/>
  <c r="N6" i="10"/>
  <c r="P6" i="10" s="1"/>
  <c r="N5" i="10"/>
  <c r="P4" i="10"/>
  <c r="R4" i="10" s="1"/>
  <c r="L5" i="10"/>
  <c r="P5" i="10"/>
  <c r="L7" i="10"/>
  <c r="Q7" i="10"/>
  <c r="L8" i="10"/>
  <c r="Q8" i="10"/>
  <c r="L9" i="10"/>
  <c r="R9" i="10"/>
  <c r="L10" i="10"/>
  <c r="Q10" i="10"/>
  <c r="L11" i="10"/>
  <c r="Q11" i="10"/>
  <c r="L12" i="10"/>
  <c r="Q12" i="10"/>
  <c r="L13" i="10"/>
  <c r="Q13" i="10"/>
  <c r="L15" i="10"/>
  <c r="Q15" i="10"/>
  <c r="L16" i="10"/>
  <c r="Q16" i="10"/>
  <c r="L18" i="10"/>
  <c r="Q20" i="10"/>
  <c r="L22" i="10"/>
  <c r="Q24" i="10"/>
  <c r="G23" i="10"/>
  <c r="L25" i="10"/>
  <c r="R25" i="10"/>
  <c r="L26" i="10"/>
  <c r="Q26" i="10"/>
  <c r="L17" i="10"/>
  <c r="L14" i="10"/>
  <c r="Q14" i="10"/>
  <c r="Q17" i="10"/>
  <c r="R17" i="10"/>
  <c r="Q5" i="10"/>
  <c r="R5" i="10"/>
  <c r="Q19" i="10"/>
  <c r="R19" i="10"/>
  <c r="L23" i="10"/>
  <c r="L6" i="10"/>
  <c r="G3" i="10"/>
  <c r="Q6" i="10"/>
  <c r="R6" i="10"/>
  <c r="K3" i="10"/>
  <c r="Q18" i="10"/>
  <c r="R18" i="10"/>
  <c r="R28" i="10"/>
  <c r="G28" i="10"/>
  <c r="G29" i="10"/>
  <c r="L29" i="10" s="1"/>
  <c r="R8" i="10"/>
  <c r="R10" i="10"/>
  <c r="R12" i="10"/>
  <c r="R14" i="10"/>
  <c r="R16" i="10"/>
  <c r="Q9" i="10"/>
  <c r="R22" i="10"/>
  <c r="L24" i="10"/>
  <c r="Q25" i="10"/>
  <c r="R7" i="10"/>
  <c r="R11" i="10"/>
  <c r="R13" i="10"/>
  <c r="R15" i="10"/>
  <c r="R23" i="10"/>
  <c r="P29" i="10"/>
  <c r="R24" i="10"/>
  <c r="R26" i="10"/>
  <c r="P3" i="10"/>
  <c r="Q4" i="10"/>
  <c r="Q23" i="10"/>
  <c r="L4" i="10"/>
  <c r="D6" i="7"/>
  <c r="D6" i="8"/>
  <c r="G6" i="8"/>
  <c r="G22" i="8"/>
  <c r="G23" i="8"/>
  <c r="G24" i="8"/>
  <c r="AC18" i="8"/>
  <c r="AC17" i="8"/>
  <c r="AC16" i="8"/>
  <c r="D19" i="8"/>
  <c r="D18" i="8"/>
  <c r="D17" i="8"/>
  <c r="D5" i="8"/>
  <c r="G4" i="8"/>
  <c r="G5" i="8"/>
  <c r="G7" i="8"/>
  <c r="G8" i="8"/>
  <c r="G9" i="8"/>
  <c r="G10" i="8"/>
  <c r="G11" i="8"/>
  <c r="G12" i="8"/>
  <c r="G13" i="8"/>
  <c r="G14" i="8"/>
  <c r="G15" i="8"/>
  <c r="G16" i="8"/>
  <c r="G17" i="8"/>
  <c r="G18" i="8"/>
  <c r="G19" i="8"/>
  <c r="G20" i="8"/>
  <c r="G27" i="8"/>
  <c r="G28" i="8"/>
  <c r="G29" i="8"/>
  <c r="G26" i="8"/>
  <c r="G31" i="8"/>
  <c r="G32" i="8"/>
  <c r="G30" i="8"/>
  <c r="N4" i="8"/>
  <c r="P4" i="8"/>
  <c r="M5" i="8"/>
  <c r="N5" i="8"/>
  <c r="P5" i="8"/>
  <c r="M6" i="8"/>
  <c r="N6" i="8"/>
  <c r="P6" i="8"/>
  <c r="M7" i="8"/>
  <c r="P7" i="8"/>
  <c r="P8" i="8"/>
  <c r="P9" i="8"/>
  <c r="P10" i="8"/>
  <c r="P11" i="8"/>
  <c r="P12" i="8"/>
  <c r="P13" i="8"/>
  <c r="P14" i="8"/>
  <c r="P15" i="8"/>
  <c r="P16" i="8"/>
  <c r="M17" i="8"/>
  <c r="P17" i="8"/>
  <c r="M18" i="8"/>
  <c r="P18" i="8"/>
  <c r="M19" i="8"/>
  <c r="P19" i="8"/>
  <c r="P20" i="8"/>
  <c r="P3" i="8"/>
  <c r="P27" i="8"/>
  <c r="P28" i="8"/>
  <c r="P29" i="8"/>
  <c r="P26" i="8"/>
  <c r="P31" i="8"/>
  <c r="P32" i="8"/>
  <c r="P30" i="8"/>
  <c r="P33" i="8"/>
  <c r="P35" i="8"/>
  <c r="K4" i="8"/>
  <c r="H5" i="8"/>
  <c r="K5" i="8"/>
  <c r="H6" i="8"/>
  <c r="K6" i="8"/>
  <c r="H7" i="8"/>
  <c r="K7" i="8"/>
  <c r="K8" i="8"/>
  <c r="K9" i="8"/>
  <c r="K10" i="8"/>
  <c r="K11" i="8"/>
  <c r="K12" i="8"/>
  <c r="K13" i="8"/>
  <c r="K14" i="8"/>
  <c r="K15" i="8"/>
  <c r="K16" i="8"/>
  <c r="H17" i="8"/>
  <c r="K17" i="8"/>
  <c r="H18" i="8"/>
  <c r="K18" i="8"/>
  <c r="H19" i="8"/>
  <c r="K19" i="8"/>
  <c r="H20" i="8"/>
  <c r="K20" i="8"/>
  <c r="K3" i="8"/>
  <c r="K27" i="8"/>
  <c r="K28" i="8"/>
  <c r="K29" i="8"/>
  <c r="K26" i="8"/>
  <c r="K30" i="8"/>
  <c r="K33" i="8"/>
  <c r="K35" i="8"/>
  <c r="R35" i="8"/>
  <c r="Q34" i="8"/>
  <c r="L34" i="8"/>
  <c r="R33" i="8"/>
  <c r="R32" i="8"/>
  <c r="Q32" i="8"/>
  <c r="L32" i="8"/>
  <c r="R31" i="8"/>
  <c r="Q31" i="8"/>
  <c r="L31" i="8"/>
  <c r="R30" i="8"/>
  <c r="Q30" i="8"/>
  <c r="L30" i="8"/>
  <c r="R29" i="8"/>
  <c r="Q29" i="8"/>
  <c r="L29" i="8"/>
  <c r="R28" i="8"/>
  <c r="Q28" i="8"/>
  <c r="L28" i="8"/>
  <c r="R27" i="8"/>
  <c r="Q27" i="8"/>
  <c r="L27" i="8"/>
  <c r="R26" i="8"/>
  <c r="Q26" i="8"/>
  <c r="O26" i="8"/>
  <c r="L26" i="8"/>
  <c r="J26" i="8"/>
  <c r="F26" i="8"/>
  <c r="P25" i="8"/>
  <c r="K25" i="8"/>
  <c r="R25" i="8"/>
  <c r="G25" i="8"/>
  <c r="Q25" i="8"/>
  <c r="L25" i="8"/>
  <c r="G21" i="8"/>
  <c r="Q20" i="8"/>
  <c r="L20" i="8"/>
  <c r="R19" i="8"/>
  <c r="Q19" i="8"/>
  <c r="L19" i="8"/>
  <c r="R18" i="8"/>
  <c r="Q18" i="8"/>
  <c r="L18" i="8"/>
  <c r="R17" i="8"/>
  <c r="Q17" i="8"/>
  <c r="L17" i="8"/>
  <c r="R16" i="8"/>
  <c r="Q16" i="8"/>
  <c r="L16" i="8"/>
  <c r="R15" i="8"/>
  <c r="Q15" i="8"/>
  <c r="L15" i="8"/>
  <c r="R14" i="8"/>
  <c r="Q14" i="8"/>
  <c r="L14" i="8"/>
  <c r="R13" i="8"/>
  <c r="Q13" i="8"/>
  <c r="L13" i="8"/>
  <c r="R12" i="8"/>
  <c r="Q12" i="8"/>
  <c r="L12" i="8"/>
  <c r="R11" i="8"/>
  <c r="Q11" i="8"/>
  <c r="L11" i="8"/>
  <c r="R10" i="8"/>
  <c r="Q10" i="8"/>
  <c r="L10" i="8"/>
  <c r="R9" i="8"/>
  <c r="Q9" i="8"/>
  <c r="L9" i="8"/>
  <c r="R8" i="8"/>
  <c r="Q8" i="8"/>
  <c r="L8" i="8"/>
  <c r="R7" i="8"/>
  <c r="Q7" i="8"/>
  <c r="L7" i="8"/>
  <c r="R6" i="8"/>
  <c r="Q6" i="8"/>
  <c r="L6" i="8"/>
  <c r="R5" i="8"/>
  <c r="Q5" i="8"/>
  <c r="L5" i="8"/>
  <c r="R4" i="8"/>
  <c r="Q4" i="8"/>
  <c r="L4" i="8"/>
  <c r="R3" i="8"/>
  <c r="Q3" i="8"/>
  <c r="S1" i="8"/>
  <c r="D5" i="7"/>
  <c r="G21" i="7"/>
  <c r="K18" i="5"/>
  <c r="K19" i="5"/>
  <c r="K20" i="5"/>
  <c r="K21" i="5"/>
  <c r="K22" i="5"/>
  <c r="K23" i="5"/>
  <c r="K24" i="5"/>
  <c r="K25" i="5"/>
  <c r="K26" i="5"/>
  <c r="K27" i="5"/>
  <c r="J15" i="5"/>
  <c r="J8" i="5"/>
  <c r="J9" i="5"/>
  <c r="J10" i="5"/>
  <c r="J11" i="5"/>
  <c r="J5" i="5"/>
  <c r="J29" i="5"/>
  <c r="J36" i="5"/>
  <c r="J38" i="5"/>
  <c r="J40" i="5"/>
  <c r="E5" i="6"/>
  <c r="F5" i="6" s="1"/>
  <c r="E6" i="6"/>
  <c r="G5" i="7"/>
  <c r="G6" i="7"/>
  <c r="G4" i="7"/>
  <c r="G7" i="7"/>
  <c r="G8" i="7"/>
  <c r="G9" i="7"/>
  <c r="G10" i="7"/>
  <c r="G11" i="7"/>
  <c r="G12" i="7"/>
  <c r="G13" i="7"/>
  <c r="G14" i="7"/>
  <c r="G15" i="7"/>
  <c r="G16" i="7"/>
  <c r="G17" i="7"/>
  <c r="G18" i="7"/>
  <c r="G19" i="7"/>
  <c r="G20" i="7"/>
  <c r="G3" i="7"/>
  <c r="G24" i="7"/>
  <c r="G25" i="7"/>
  <c r="G26" i="7"/>
  <c r="G23" i="7"/>
  <c r="G28" i="7"/>
  <c r="G29" i="7"/>
  <c r="G27" i="7"/>
  <c r="G30" i="7"/>
  <c r="G32" i="7"/>
  <c r="E9" i="6"/>
  <c r="E10" i="6"/>
  <c r="G36" i="7"/>
  <c r="N4" i="7"/>
  <c r="P4" i="7"/>
  <c r="M5" i="7"/>
  <c r="N5" i="7"/>
  <c r="P5" i="7"/>
  <c r="M6" i="7"/>
  <c r="N6" i="7"/>
  <c r="P6" i="7"/>
  <c r="M7" i="7"/>
  <c r="P7" i="7"/>
  <c r="P8" i="7"/>
  <c r="P9" i="7"/>
  <c r="P10" i="7"/>
  <c r="P11" i="7"/>
  <c r="P12" i="7"/>
  <c r="P13" i="7"/>
  <c r="P14" i="7"/>
  <c r="P15" i="7"/>
  <c r="P16" i="7"/>
  <c r="M17" i="7"/>
  <c r="P17" i="7"/>
  <c r="M18" i="7"/>
  <c r="P18" i="7"/>
  <c r="M19" i="7"/>
  <c r="P19" i="7"/>
  <c r="P20" i="7"/>
  <c r="P3" i="7"/>
  <c r="P24" i="7"/>
  <c r="P25" i="7"/>
  <c r="P26" i="7"/>
  <c r="P23" i="7"/>
  <c r="P28" i="7"/>
  <c r="P29" i="7"/>
  <c r="P27" i="7"/>
  <c r="P30" i="7"/>
  <c r="P32" i="7"/>
  <c r="K4" i="7"/>
  <c r="H5" i="7"/>
  <c r="K5" i="7"/>
  <c r="H6" i="7"/>
  <c r="K6" i="7"/>
  <c r="H7" i="7"/>
  <c r="K7" i="7"/>
  <c r="K8" i="7"/>
  <c r="K9" i="7"/>
  <c r="K10" i="7"/>
  <c r="K11" i="7"/>
  <c r="K12" i="7"/>
  <c r="K13" i="7"/>
  <c r="K14" i="7"/>
  <c r="K15" i="7"/>
  <c r="K16" i="7"/>
  <c r="H17" i="7"/>
  <c r="K17" i="7"/>
  <c r="H18" i="7"/>
  <c r="K18" i="7"/>
  <c r="H19" i="7"/>
  <c r="K19" i="7"/>
  <c r="H20" i="7"/>
  <c r="K20" i="7"/>
  <c r="K3" i="7"/>
  <c r="K24" i="7"/>
  <c r="K25" i="7"/>
  <c r="K26" i="7"/>
  <c r="K23" i="7"/>
  <c r="K27" i="7"/>
  <c r="K30" i="7"/>
  <c r="K32" i="7"/>
  <c r="R32" i="7"/>
  <c r="Q32" i="7"/>
  <c r="L32" i="7"/>
  <c r="Q31" i="7"/>
  <c r="L31" i="7"/>
  <c r="R30" i="7"/>
  <c r="Q30" i="7"/>
  <c r="L30" i="7"/>
  <c r="R29" i="7"/>
  <c r="Q29" i="7"/>
  <c r="L29" i="7"/>
  <c r="R28" i="7"/>
  <c r="Q28" i="7"/>
  <c r="L28" i="7"/>
  <c r="R27" i="7"/>
  <c r="Q27" i="7"/>
  <c r="L27" i="7"/>
  <c r="R26" i="7"/>
  <c r="Q26" i="7"/>
  <c r="L26" i="7"/>
  <c r="R25" i="7"/>
  <c r="Q25" i="7"/>
  <c r="L25" i="7"/>
  <c r="R24" i="7"/>
  <c r="Q24" i="7"/>
  <c r="L24" i="7"/>
  <c r="R23" i="7"/>
  <c r="Q23" i="7"/>
  <c r="O23" i="7"/>
  <c r="L23" i="7"/>
  <c r="J23" i="7"/>
  <c r="F23" i="7"/>
  <c r="P22" i="7"/>
  <c r="K22" i="7"/>
  <c r="R22" i="7"/>
  <c r="G22" i="7"/>
  <c r="Q22" i="7"/>
  <c r="L22" i="7"/>
  <c r="Q20" i="7"/>
  <c r="L20" i="7"/>
  <c r="R19" i="7"/>
  <c r="Q19" i="7"/>
  <c r="L19" i="7"/>
  <c r="R18" i="7"/>
  <c r="Q18" i="7"/>
  <c r="L18" i="7"/>
  <c r="R17" i="7"/>
  <c r="Q17" i="7"/>
  <c r="L17" i="7"/>
  <c r="R16" i="7"/>
  <c r="Q16" i="7"/>
  <c r="L16" i="7"/>
  <c r="R15" i="7"/>
  <c r="Q15" i="7"/>
  <c r="L15" i="7"/>
  <c r="R14" i="7"/>
  <c r="Q14" i="7"/>
  <c r="L14" i="7"/>
  <c r="R13" i="7"/>
  <c r="Q13" i="7"/>
  <c r="L13" i="7"/>
  <c r="R12" i="7"/>
  <c r="Q12" i="7"/>
  <c r="L12" i="7"/>
  <c r="R11" i="7"/>
  <c r="Q11" i="7"/>
  <c r="L11" i="7"/>
  <c r="R10" i="7"/>
  <c r="Q10" i="7"/>
  <c r="L10" i="7"/>
  <c r="R9" i="7"/>
  <c r="Q9" i="7"/>
  <c r="L9" i="7"/>
  <c r="R8" i="7"/>
  <c r="Q8" i="7"/>
  <c r="L8" i="7"/>
  <c r="R7" i="7"/>
  <c r="Q7" i="7"/>
  <c r="L7" i="7"/>
  <c r="R6" i="7"/>
  <c r="Q6" i="7"/>
  <c r="L6" i="7"/>
  <c r="R5" i="7"/>
  <c r="Q5" i="7"/>
  <c r="L5" i="7"/>
  <c r="R4" i="7"/>
  <c r="Q4" i="7"/>
  <c r="L4" i="7"/>
  <c r="R3" i="7"/>
  <c r="Q3" i="7"/>
  <c r="L3" i="7"/>
  <c r="S1" i="7"/>
  <c r="Q29" i="10" l="1"/>
  <c r="R29" i="10"/>
  <c r="L28" i="10"/>
  <c r="G27" i="10"/>
  <c r="L27" i="10" s="1"/>
  <c r="R3" i="10"/>
  <c r="Q3" i="10"/>
  <c r="Q28" i="10"/>
  <c r="P27" i="10"/>
  <c r="P30" i="10" s="1"/>
  <c r="K30" i="10"/>
  <c r="L3" i="10"/>
  <c r="G3" i="8"/>
  <c r="R30" i="10" l="1"/>
  <c r="G30" i="10"/>
  <c r="Q30" i="10" s="1"/>
  <c r="Q27" i="10"/>
  <c r="R27" i="10"/>
  <c r="P32" i="10"/>
  <c r="K32" i="10"/>
  <c r="G33" i="8"/>
  <c r="G35" i="8"/>
  <c r="L3" i="8"/>
  <c r="G32" i="10" l="1"/>
  <c r="R32" i="10"/>
  <c r="L30" i="10"/>
  <c r="E7" i="6"/>
  <c r="G39" i="8"/>
  <c r="Q35" i="8"/>
  <c r="L35" i="8"/>
  <c r="Q33" i="8"/>
  <c r="L33" i="8"/>
  <c r="G36" i="10" l="1"/>
  <c r="E5" i="11"/>
  <c r="E6" i="11" s="1"/>
  <c r="E7" i="11" s="1"/>
  <c r="E8" i="11" s="1"/>
  <c r="L32" i="10"/>
  <c r="Q32" i="10"/>
  <c r="E8" i="6"/>
  <c r="F10" i="6" s="1"/>
  <c r="E11" i="6"/>
  <c r="F7" i="6"/>
  <c r="E9" i="11" l="1"/>
  <c r="E10" i="11" s="1"/>
  <c r="F10" i="11"/>
  <c r="F7" i="11"/>
  <c r="E11" i="11"/>
</calcChain>
</file>

<file path=xl/sharedStrings.xml><?xml version="1.0" encoding="utf-8"?>
<sst xmlns="http://schemas.openxmlformats.org/spreadsheetml/2006/main" count="771" uniqueCount="318">
  <si>
    <t>「ベトナム地方都市若手リーダープロジェクト　研修運営監理業務」</t>
    <rPh sb="5" eb="7">
      <t>チホウ</t>
    </rPh>
    <rPh sb="7" eb="9">
      <t>トシ</t>
    </rPh>
    <rPh sb="9" eb="11">
      <t>ワカテ</t>
    </rPh>
    <phoneticPr fontId="1"/>
  </si>
  <si>
    <t>契約金額積算表（一般契約（総合評価落札方式））</t>
    <rPh sb="0" eb="2">
      <t>ケイヤク</t>
    </rPh>
    <rPh sb="2" eb="4">
      <t>キンガク</t>
    </rPh>
    <rPh sb="4" eb="6">
      <t>セキサン</t>
    </rPh>
    <rPh sb="6" eb="7">
      <t>ヒョウ</t>
    </rPh>
    <rPh sb="8" eb="10">
      <t>イッパン</t>
    </rPh>
    <rPh sb="10" eb="12">
      <t>ケイヤク</t>
    </rPh>
    <rPh sb="13" eb="15">
      <t>ソウゴウ</t>
    </rPh>
    <rPh sb="15" eb="17">
      <t>ヒョウカ</t>
    </rPh>
    <rPh sb="17" eb="21">
      <t>ラクサツホウシキ</t>
    </rPh>
    <phoneticPr fontId="1"/>
  </si>
  <si>
    <t>年度</t>
    <rPh sb="0" eb="2">
      <t>ネンド</t>
    </rPh>
    <phoneticPr fontId="1"/>
  </si>
  <si>
    <t>回数</t>
    <rPh sb="0" eb="2">
      <t>カイスウ</t>
    </rPh>
    <phoneticPr fontId="1"/>
  </si>
  <si>
    <t>研修実施方法</t>
    <rPh sb="0" eb="2">
      <t>ケンシュウ</t>
    </rPh>
    <rPh sb="2" eb="4">
      <t>ジッシ</t>
    </rPh>
    <rPh sb="4" eb="6">
      <t>ホウホウ</t>
    </rPh>
    <phoneticPr fontId="1"/>
  </si>
  <si>
    <t>金額</t>
    <rPh sb="0" eb="2">
      <t>キンガク</t>
    </rPh>
    <phoneticPr fontId="1"/>
  </si>
  <si>
    <t>オンライン</t>
    <phoneticPr fontId="1"/>
  </si>
  <si>
    <t>ハイブリッド</t>
    <phoneticPr fontId="1"/>
  </si>
  <si>
    <t>訪日</t>
    <rPh sb="0" eb="2">
      <t>ホウニチ</t>
    </rPh>
    <phoneticPr fontId="1"/>
  </si>
  <si>
    <t>●研修は全て10日間の実施を想定(訪日は前後移動のため11泊12日、ハイブリッドは5日の座学（オンライン）＋訪日研修5日間（前後移動のため6泊7日）</t>
    <rPh sb="1" eb="3">
      <t>ケンシュウ</t>
    </rPh>
    <rPh sb="4" eb="5">
      <t>スベ</t>
    </rPh>
    <rPh sb="8" eb="9">
      <t>ニチ</t>
    </rPh>
    <rPh sb="9" eb="10">
      <t>アイダ</t>
    </rPh>
    <rPh sb="11" eb="13">
      <t>ジッシ</t>
    </rPh>
    <rPh sb="14" eb="16">
      <t>ソウテイ</t>
    </rPh>
    <rPh sb="17" eb="19">
      <t>ホウニチ</t>
    </rPh>
    <rPh sb="20" eb="22">
      <t>ゼンゴ</t>
    </rPh>
    <rPh sb="22" eb="24">
      <t>イドウ</t>
    </rPh>
    <rPh sb="29" eb="30">
      <t>ハク</t>
    </rPh>
    <rPh sb="32" eb="33">
      <t>ニチ</t>
    </rPh>
    <rPh sb="42" eb="43">
      <t>ニチ</t>
    </rPh>
    <rPh sb="44" eb="46">
      <t>ザガク</t>
    </rPh>
    <rPh sb="54" eb="56">
      <t>ホウニチ</t>
    </rPh>
    <rPh sb="56" eb="58">
      <t>ケンシュウ</t>
    </rPh>
    <rPh sb="59" eb="60">
      <t>ニチ</t>
    </rPh>
    <rPh sb="60" eb="61">
      <t>アイダ</t>
    </rPh>
    <rPh sb="62" eb="64">
      <t>ゼンゴ</t>
    </rPh>
    <rPh sb="64" eb="66">
      <t>イドウ</t>
    </rPh>
    <rPh sb="70" eb="71">
      <t>ハク</t>
    </rPh>
    <rPh sb="72" eb="73">
      <t>ニチ</t>
    </rPh>
    <phoneticPr fontId="1"/>
  </si>
  <si>
    <t>１　業務人件費　　　　　　　　　　　　　　　　　　　　　　　　　　　　　　　</t>
    <rPh sb="2" eb="7">
      <t>ギョウムジンケンヒ</t>
    </rPh>
    <phoneticPr fontId="1"/>
  </si>
  <si>
    <t>（円）</t>
    <rPh sb="1" eb="2">
      <t>エン</t>
    </rPh>
    <phoneticPr fontId="1"/>
  </si>
  <si>
    <t>担当業務</t>
    <rPh sb="0" eb="2">
      <t>タントウ</t>
    </rPh>
    <rPh sb="2" eb="4">
      <t>ギョウム</t>
    </rPh>
    <phoneticPr fontId="1"/>
  </si>
  <si>
    <t>単価／人</t>
    <rPh sb="0" eb="2">
      <t>タンカ</t>
    </rPh>
    <rPh sb="3" eb="4">
      <t>ニン</t>
    </rPh>
    <phoneticPr fontId="1"/>
  </si>
  <si>
    <t>人日</t>
    <rPh sb="0" eb="2">
      <t>ニンニチ</t>
    </rPh>
    <phoneticPr fontId="1"/>
  </si>
  <si>
    <t>小計</t>
    <rPh sb="0" eb="2">
      <t>ショウケイ</t>
    </rPh>
    <phoneticPr fontId="1"/>
  </si>
  <si>
    <t>備考</t>
    <rPh sb="0" eb="2">
      <t>ビコウ</t>
    </rPh>
    <phoneticPr fontId="1"/>
  </si>
  <si>
    <t>総括／研修業務総括</t>
    <rPh sb="0" eb="2">
      <t>ソウカツ</t>
    </rPh>
    <rPh sb="3" eb="5">
      <t>ケンシュウ</t>
    </rPh>
    <rPh sb="5" eb="7">
      <t>ギョウム</t>
    </rPh>
    <rPh sb="7" eb="9">
      <t>ソウカツ</t>
    </rPh>
    <phoneticPr fontId="1"/>
  </si>
  <si>
    <t>主任技師相当</t>
    <rPh sb="0" eb="2">
      <t>シュニン</t>
    </rPh>
    <rPh sb="2" eb="4">
      <t>ギシ</t>
    </rPh>
    <rPh sb="4" eb="6">
      <t>ソウトウ</t>
    </rPh>
    <phoneticPr fontId="1"/>
  </si>
  <si>
    <t>研修運営計画</t>
    <rPh sb="0" eb="2">
      <t>ケンシュウ</t>
    </rPh>
    <rPh sb="2" eb="4">
      <t>ウンエイ</t>
    </rPh>
    <rPh sb="4" eb="6">
      <t>ケイカク</t>
    </rPh>
    <phoneticPr fontId="1"/>
  </si>
  <si>
    <t>技師（A）相当</t>
    <rPh sb="0" eb="2">
      <t>ギシ</t>
    </rPh>
    <rPh sb="5" eb="7">
      <t>ソウトウ</t>
    </rPh>
    <phoneticPr fontId="1"/>
  </si>
  <si>
    <t>研修事務管理</t>
    <rPh sb="0" eb="2">
      <t>ケンシュウ</t>
    </rPh>
    <rPh sb="2" eb="4">
      <t>ジム</t>
    </rPh>
    <rPh sb="4" eb="6">
      <t>カンリ</t>
    </rPh>
    <phoneticPr fontId="1"/>
  </si>
  <si>
    <t>技師（C)相当</t>
    <rPh sb="0" eb="2">
      <t>ギシ</t>
    </rPh>
    <rPh sb="5" eb="7">
      <t>ソウトウ</t>
    </rPh>
    <phoneticPr fontId="1"/>
  </si>
  <si>
    <t>メディア教材作成</t>
    <rPh sb="4" eb="6">
      <t>キョウザイ</t>
    </rPh>
    <rPh sb="6" eb="8">
      <t>サクセイ</t>
    </rPh>
    <phoneticPr fontId="1"/>
  </si>
  <si>
    <t>※　直接人件費単価は設計業務委託等技術者単価（国土交通省、令和３年度）参照</t>
    <rPh sb="2" eb="4">
      <t>チョクセツ</t>
    </rPh>
    <rPh sb="4" eb="7">
      <t>ジンケンヒ</t>
    </rPh>
    <rPh sb="7" eb="9">
      <t>タンカ</t>
    </rPh>
    <rPh sb="10" eb="12">
      <t>セッケイ</t>
    </rPh>
    <rPh sb="12" eb="14">
      <t>ギョウム</t>
    </rPh>
    <rPh sb="14" eb="16">
      <t>イタク</t>
    </rPh>
    <rPh sb="16" eb="17">
      <t>トウ</t>
    </rPh>
    <rPh sb="17" eb="20">
      <t>ギジュツシャ</t>
    </rPh>
    <rPh sb="20" eb="22">
      <t>タンカ</t>
    </rPh>
    <rPh sb="23" eb="25">
      <t>コクド</t>
    </rPh>
    <rPh sb="25" eb="28">
      <t>コウツウショウ</t>
    </rPh>
    <rPh sb="29" eb="31">
      <t>レイワ</t>
    </rPh>
    <rPh sb="32" eb="33">
      <t>ネン</t>
    </rPh>
    <rPh sb="33" eb="34">
      <t>ド</t>
    </rPh>
    <rPh sb="35" eb="37">
      <t>サンショウ</t>
    </rPh>
    <phoneticPr fontId="1"/>
  </si>
  <si>
    <t>２　直接経費　　　　　　　　　　　　　　　　　　　　　　　　　　　　　　</t>
    <rPh sb="2" eb="4">
      <t>チョクセツ</t>
    </rPh>
    <rPh sb="4" eb="6">
      <t>ケイヒ</t>
    </rPh>
    <phoneticPr fontId="1"/>
  </si>
  <si>
    <t>項目</t>
    <rPh sb="0" eb="2">
      <t>コウモク</t>
    </rPh>
    <phoneticPr fontId="1"/>
  </si>
  <si>
    <t>数量</t>
    <rPh sb="0" eb="2">
      <t>スウリョウ</t>
    </rPh>
    <phoneticPr fontId="1"/>
  </si>
  <si>
    <t>単位</t>
    <rPh sb="0" eb="2">
      <t>タンイ</t>
    </rPh>
    <phoneticPr fontId="1"/>
  </si>
  <si>
    <t>小計（円）</t>
    <rPh sb="0" eb="2">
      <t>ショウケイ</t>
    </rPh>
    <rPh sb="3" eb="4">
      <t>エン</t>
    </rPh>
    <phoneticPr fontId="1"/>
  </si>
  <si>
    <t>講師謝金（1号A）</t>
    <rPh sb="0" eb="2">
      <t>コウシ</t>
    </rPh>
    <rPh sb="2" eb="4">
      <t>シャキン</t>
    </rPh>
    <rPh sb="6" eb="7">
      <t>ゴウ</t>
    </rPh>
    <phoneticPr fontId="1"/>
  </si>
  <si>
    <t>時間</t>
    <rPh sb="0" eb="2">
      <t>ジカン</t>
    </rPh>
    <phoneticPr fontId="1"/>
  </si>
  <si>
    <t xml:space="preserve">20講義　×　70分　＝　1400分
1400分　÷　60分　＝　23.3時間
</t>
    <rPh sb="2" eb="4">
      <t>コウギ</t>
    </rPh>
    <rPh sb="9" eb="10">
      <t>フン</t>
    </rPh>
    <rPh sb="17" eb="18">
      <t>フン</t>
    </rPh>
    <rPh sb="23" eb="24">
      <t>フン</t>
    </rPh>
    <rPh sb="29" eb="30">
      <t>フン</t>
    </rPh>
    <rPh sb="37" eb="39">
      <t>ジカン</t>
    </rPh>
    <phoneticPr fontId="1"/>
  </si>
  <si>
    <t>※1</t>
    <phoneticPr fontId="1"/>
  </si>
  <si>
    <t>検討会等参加謝金（1号A、副学長・学部長級）</t>
    <rPh sb="0" eb="3">
      <t>ケントウカイ</t>
    </rPh>
    <rPh sb="3" eb="4">
      <t>トウ</t>
    </rPh>
    <rPh sb="4" eb="6">
      <t>サンカ</t>
    </rPh>
    <rPh sb="6" eb="8">
      <t>シャキン</t>
    </rPh>
    <rPh sb="13" eb="16">
      <t>フクガクチョウ</t>
    </rPh>
    <rPh sb="17" eb="20">
      <t>ガクブチョウ</t>
    </rPh>
    <rPh sb="20" eb="21">
      <t>キュウ</t>
    </rPh>
    <phoneticPr fontId="1"/>
  </si>
  <si>
    <t>①事前ヒアリング
　リハーサル　60分×1＝60分（1時間）
　60分　×　2　=　120分（2時間）
②講義前リハーサル
　60分　×（講義20回　+　ディスカッション20回）=　2400分（40時間）
③有識者によるディスカッションのファシリテーション及びアクションプラン等指導　
20回　×　70分　=　1120分　（23.3時間）
④事後フォロー
　リハーサル　60分×1＝60分（1時間）
　60分　×　2　=　120分（2時間）</t>
    <rPh sb="1" eb="3">
      <t>ジゼン</t>
    </rPh>
    <rPh sb="18" eb="19">
      <t>フン</t>
    </rPh>
    <rPh sb="24" eb="25">
      <t>フン</t>
    </rPh>
    <rPh sb="27" eb="29">
      <t>ジカン</t>
    </rPh>
    <rPh sb="34" eb="35">
      <t>フン</t>
    </rPh>
    <rPh sb="45" eb="46">
      <t>フン</t>
    </rPh>
    <rPh sb="48" eb="50">
      <t>ジカン</t>
    </rPh>
    <rPh sb="54" eb="56">
      <t>コウギ</t>
    </rPh>
    <rPh sb="56" eb="57">
      <t>マエ</t>
    </rPh>
    <rPh sb="66" eb="67">
      <t>フン</t>
    </rPh>
    <rPh sb="70" eb="72">
      <t>コウギ</t>
    </rPh>
    <rPh sb="74" eb="75">
      <t>カイ</t>
    </rPh>
    <rPh sb="88" eb="89">
      <t>カイ</t>
    </rPh>
    <rPh sb="96" eb="97">
      <t>フン</t>
    </rPh>
    <rPh sb="100" eb="102">
      <t>ジカン</t>
    </rPh>
    <rPh sb="106" eb="109">
      <t>ユウシキシャ</t>
    </rPh>
    <rPh sb="130" eb="131">
      <t>オヨ</t>
    </rPh>
    <rPh sb="140" eb="141">
      <t>トウ</t>
    </rPh>
    <rPh sb="141" eb="143">
      <t>シドウ</t>
    </rPh>
    <rPh sb="147" eb="148">
      <t>カイ</t>
    </rPh>
    <rPh sb="153" eb="154">
      <t>フン</t>
    </rPh>
    <rPh sb="174" eb="176">
      <t>ジゴ</t>
    </rPh>
    <rPh sb="190" eb="191">
      <t>フン</t>
    </rPh>
    <rPh sb="196" eb="197">
      <t>フン</t>
    </rPh>
    <rPh sb="199" eb="201">
      <t>ジカン</t>
    </rPh>
    <phoneticPr fontId="1"/>
  </si>
  <si>
    <t>※1
※2</t>
    <phoneticPr fontId="1"/>
  </si>
  <si>
    <t>原稿謝金</t>
    <rPh sb="0" eb="2">
      <t>ゲンコウ</t>
    </rPh>
    <rPh sb="2" eb="4">
      <t>シャキン</t>
    </rPh>
    <phoneticPr fontId="1"/>
  </si>
  <si>
    <t>頁</t>
    <rPh sb="0" eb="1">
      <t>ページ</t>
    </rPh>
    <phoneticPr fontId="1"/>
  </si>
  <si>
    <t>20講義　×　20枚　=　400スライド　
400スライド　÷　4　=　100（パワーポイントは4枚で原稿謝金1枚分とされるため）</t>
    <rPh sb="2" eb="4">
      <t>コウギ</t>
    </rPh>
    <rPh sb="9" eb="10">
      <t>マイ</t>
    </rPh>
    <rPh sb="49" eb="50">
      <t>マイ</t>
    </rPh>
    <rPh sb="51" eb="53">
      <t>ゲンコウ</t>
    </rPh>
    <rPh sb="53" eb="55">
      <t>シャキン</t>
    </rPh>
    <rPh sb="56" eb="57">
      <t>マイ</t>
    </rPh>
    <rPh sb="57" eb="58">
      <t>ブン</t>
    </rPh>
    <phoneticPr fontId="1"/>
  </si>
  <si>
    <t>見学謝金</t>
    <rPh sb="0" eb="2">
      <t>ケンガク</t>
    </rPh>
    <rPh sb="2" eb="4">
      <t>シャキン</t>
    </rPh>
    <phoneticPr fontId="1"/>
  </si>
  <si>
    <t>件</t>
    <rPh sb="0" eb="1">
      <t>ケン</t>
    </rPh>
    <phoneticPr fontId="1"/>
  </si>
  <si>
    <t>翻訳料（日越語訳）</t>
    <rPh sb="0" eb="2">
      <t>ホンヤク</t>
    </rPh>
    <rPh sb="2" eb="3">
      <t>リョウ</t>
    </rPh>
    <rPh sb="4" eb="6">
      <t>ニチエツ</t>
    </rPh>
    <rPh sb="6" eb="7">
      <t>ゴ</t>
    </rPh>
    <rPh sb="7" eb="8">
      <t>ヤク</t>
    </rPh>
    <phoneticPr fontId="1"/>
  </si>
  <si>
    <t>枚数は原稿謝金に同じ。</t>
    <rPh sb="0" eb="2">
      <t>マイスウ</t>
    </rPh>
    <rPh sb="3" eb="5">
      <t>ゲンコウ</t>
    </rPh>
    <rPh sb="5" eb="7">
      <t>シャキン</t>
    </rPh>
    <rPh sb="8" eb="9">
      <t>オナ</t>
    </rPh>
    <phoneticPr fontId="1"/>
  </si>
  <si>
    <t>※3</t>
    <phoneticPr fontId="1"/>
  </si>
  <si>
    <t>研修アドバイザー業務委託費</t>
    <rPh sb="0" eb="2">
      <t>ケンシュウ</t>
    </rPh>
    <rPh sb="8" eb="10">
      <t>ギョウム</t>
    </rPh>
    <rPh sb="10" eb="12">
      <t>イタク</t>
    </rPh>
    <rPh sb="12" eb="13">
      <t>ヒ</t>
    </rPh>
    <phoneticPr fontId="1"/>
  </si>
  <si>
    <t>日</t>
    <rPh sb="0" eb="1">
      <t>ニチ</t>
    </rPh>
    <phoneticPr fontId="1"/>
  </si>
  <si>
    <t>※　業務人件費同様、設計業務委託等技術者単価（技師（A）相当）を参照。</t>
    <rPh sb="2" eb="7">
      <t>ギョウムジンケンヒ</t>
    </rPh>
    <rPh sb="7" eb="9">
      <t>ドウヨウ</t>
    </rPh>
    <rPh sb="10" eb="12">
      <t>セッケイ</t>
    </rPh>
    <rPh sb="12" eb="14">
      <t>ギョウム</t>
    </rPh>
    <rPh sb="14" eb="16">
      <t>イタク</t>
    </rPh>
    <rPh sb="16" eb="17">
      <t>トウ</t>
    </rPh>
    <rPh sb="17" eb="20">
      <t>ギジュツシャ</t>
    </rPh>
    <rPh sb="20" eb="22">
      <t>タンカ</t>
    </rPh>
    <rPh sb="23" eb="25">
      <t>ギシ</t>
    </rPh>
    <rPh sb="28" eb="30">
      <t>ソウトウ</t>
    </rPh>
    <rPh sb="32" eb="34">
      <t>サンショウ</t>
    </rPh>
    <phoneticPr fontId="1"/>
  </si>
  <si>
    <t>通訳費（日ーベトナム）</t>
    <rPh sb="0" eb="2">
      <t>ツウヤク</t>
    </rPh>
    <rPh sb="2" eb="3">
      <t>ヒ</t>
    </rPh>
    <rPh sb="4" eb="5">
      <t>ヒ</t>
    </rPh>
    <phoneticPr fontId="1"/>
  </si>
  <si>
    <t>※　市場価格を参照、1名目</t>
    <rPh sb="2" eb="4">
      <t>シジョウ</t>
    </rPh>
    <rPh sb="4" eb="6">
      <t>カカク</t>
    </rPh>
    <rPh sb="7" eb="9">
      <t>サンショウ</t>
    </rPh>
    <rPh sb="11" eb="12">
      <t>メイ</t>
    </rPh>
    <rPh sb="12" eb="13">
      <t>メ</t>
    </rPh>
    <phoneticPr fontId="1"/>
  </si>
  <si>
    <t>通訳費（日―ベトナム語）</t>
    <rPh sb="0" eb="2">
      <t>ツウヤク</t>
    </rPh>
    <rPh sb="2" eb="3">
      <t>ヒ</t>
    </rPh>
    <rPh sb="4" eb="5">
      <t>ニチ</t>
    </rPh>
    <rPh sb="10" eb="11">
      <t>ゴ</t>
    </rPh>
    <phoneticPr fontId="1"/>
  </si>
  <si>
    <t xml:space="preserve">※　市場価格を参照、2名目
</t>
    <rPh sb="2" eb="4">
      <t>シジョウ</t>
    </rPh>
    <rPh sb="4" eb="6">
      <t>カカク</t>
    </rPh>
    <rPh sb="7" eb="9">
      <t>サンショウ</t>
    </rPh>
    <rPh sb="11" eb="13">
      <t>メイメ</t>
    </rPh>
    <phoneticPr fontId="1"/>
  </si>
  <si>
    <t>研修通信費</t>
    <rPh sb="0" eb="2">
      <t>ケンシュウ</t>
    </rPh>
    <rPh sb="2" eb="4">
      <t>ツウシン</t>
    </rPh>
    <rPh sb="4" eb="5">
      <t>ヒ</t>
    </rPh>
    <phoneticPr fontId="1"/>
  </si>
  <si>
    <t>教材作成費用</t>
    <rPh sb="0" eb="6">
      <t>キョウザイサクセイヒヨウ</t>
    </rPh>
    <phoneticPr fontId="1"/>
  </si>
  <si>
    <t>合計3日間の地方視察のコマでの映像制作を想定、2コマ×3日=6本の教材（60分）作成を想定。</t>
    <rPh sb="0" eb="2">
      <t>ゴウケイ</t>
    </rPh>
    <rPh sb="3" eb="4">
      <t>ニチ</t>
    </rPh>
    <rPh sb="4" eb="5">
      <t>アイダ</t>
    </rPh>
    <rPh sb="6" eb="8">
      <t>チホウ</t>
    </rPh>
    <rPh sb="8" eb="10">
      <t>シサツ</t>
    </rPh>
    <rPh sb="15" eb="17">
      <t>エイゾウ</t>
    </rPh>
    <rPh sb="17" eb="19">
      <t>セイサク</t>
    </rPh>
    <rPh sb="20" eb="22">
      <t>ソウテイ</t>
    </rPh>
    <rPh sb="28" eb="29">
      <t>ニチ</t>
    </rPh>
    <rPh sb="31" eb="32">
      <t>ホン</t>
    </rPh>
    <rPh sb="33" eb="35">
      <t>キョウザイ</t>
    </rPh>
    <rPh sb="38" eb="39">
      <t>フン</t>
    </rPh>
    <rPh sb="40" eb="42">
      <t>サクセイ</t>
    </rPh>
    <rPh sb="43" eb="45">
      <t>ソウテイ</t>
    </rPh>
    <phoneticPr fontId="1"/>
  </si>
  <si>
    <t>３　管理費　　　　　　　　　　　　　　　　　　　　　　　　　　　　　　</t>
    <rPh sb="2" eb="5">
      <t>カンリヒ</t>
    </rPh>
    <phoneticPr fontId="1"/>
  </si>
  <si>
    <t>※　土木設計業務等積算基準（国土交通省、令和３年度改正）参照</t>
    <rPh sb="2" eb="4">
      <t>ドボク</t>
    </rPh>
    <rPh sb="4" eb="6">
      <t>セッケイ</t>
    </rPh>
    <rPh sb="6" eb="8">
      <t>ギョウム</t>
    </rPh>
    <rPh sb="8" eb="9">
      <t>トウ</t>
    </rPh>
    <rPh sb="9" eb="11">
      <t>セキサン</t>
    </rPh>
    <rPh sb="11" eb="13">
      <t>キジュン</t>
    </rPh>
    <rPh sb="14" eb="16">
      <t>コクド</t>
    </rPh>
    <rPh sb="16" eb="19">
      <t>コウツウショウ</t>
    </rPh>
    <rPh sb="20" eb="22">
      <t>レイワ</t>
    </rPh>
    <rPh sb="23" eb="24">
      <t>ネン</t>
    </rPh>
    <rPh sb="24" eb="25">
      <t>ド</t>
    </rPh>
    <rPh sb="25" eb="27">
      <t>カイセイ</t>
    </rPh>
    <rPh sb="28" eb="30">
      <t>サンショウ</t>
    </rPh>
    <phoneticPr fontId="1"/>
  </si>
  <si>
    <t>一般管理費　　　　</t>
    <rPh sb="0" eb="2">
      <t>イッパン</t>
    </rPh>
    <rPh sb="2" eb="5">
      <t>カンリヒ</t>
    </rPh>
    <phoneticPr fontId="1"/>
  </si>
  <si>
    <t>（１　業務人件費　×　β / （1-β)）、β=35％</t>
    <rPh sb="3" eb="5">
      <t>ギョウム</t>
    </rPh>
    <rPh sb="5" eb="8">
      <t>ジンケンヒ</t>
    </rPh>
    <phoneticPr fontId="1"/>
  </si>
  <si>
    <t>４　業務経費（１　業務人件費　+　２　直接経費　+　３　管理費）　　　　　　　　　　　　　　　　　　　　　　　　　　　　　　</t>
    <rPh sb="2" eb="4">
      <t>ギョウム</t>
    </rPh>
    <rPh sb="4" eb="6">
      <t>ケイヒ</t>
    </rPh>
    <rPh sb="9" eb="11">
      <t>ギョウム</t>
    </rPh>
    <rPh sb="11" eb="14">
      <t>ジンケンヒ</t>
    </rPh>
    <rPh sb="19" eb="21">
      <t>チョクセツ</t>
    </rPh>
    <rPh sb="21" eb="23">
      <t>ケイヒ</t>
    </rPh>
    <rPh sb="28" eb="31">
      <t>カンリヒ</t>
    </rPh>
    <phoneticPr fontId="1"/>
  </si>
  <si>
    <t>５　消費税等額（４　業務経費　×　消費税率）　　　　　　　　　　　　　　　　　　　　　　　　　　　　　　</t>
    <rPh sb="2" eb="5">
      <t>ショウヒゼイ</t>
    </rPh>
    <rPh sb="5" eb="6">
      <t>ヒト</t>
    </rPh>
    <rPh sb="6" eb="7">
      <t>ガク</t>
    </rPh>
    <rPh sb="10" eb="12">
      <t>ギョウム</t>
    </rPh>
    <rPh sb="12" eb="14">
      <t>ケイヒ</t>
    </rPh>
    <rPh sb="17" eb="20">
      <t>ショウヒゼイ</t>
    </rPh>
    <rPh sb="20" eb="21">
      <t>リツ</t>
    </rPh>
    <phoneticPr fontId="1"/>
  </si>
  <si>
    <t>６　合計　（４　業務経費　+　消費税等額）</t>
    <rPh sb="2" eb="4">
      <t>ゴウケイ</t>
    </rPh>
    <rPh sb="8" eb="12">
      <t>ギョウムケイヒ</t>
    </rPh>
    <rPh sb="15" eb="18">
      <t>ショウヒゼイ</t>
    </rPh>
    <rPh sb="18" eb="19">
      <t>トウ</t>
    </rPh>
    <rPh sb="19" eb="20">
      <t>ガク</t>
    </rPh>
    <phoneticPr fontId="1"/>
  </si>
  <si>
    <t>研修委託契約における見積書作成マニュアル（2021年3月版）参照</t>
    <rPh sb="0" eb="2">
      <t>ケンシュウ</t>
    </rPh>
    <rPh sb="2" eb="4">
      <t>イタク</t>
    </rPh>
    <rPh sb="4" eb="6">
      <t>ケイヤク</t>
    </rPh>
    <rPh sb="10" eb="13">
      <t>ミツモリショ</t>
    </rPh>
    <rPh sb="13" eb="15">
      <t>サクセイ</t>
    </rPh>
    <rPh sb="25" eb="26">
      <t>ネン</t>
    </rPh>
    <rPh sb="27" eb="28">
      <t>ガツ</t>
    </rPh>
    <rPh sb="28" eb="29">
      <t>バン</t>
    </rPh>
    <rPh sb="30" eb="32">
      <t>サンショウ</t>
    </rPh>
    <phoneticPr fontId="1"/>
  </si>
  <si>
    <t>※2</t>
    <phoneticPr fontId="1"/>
  </si>
  <si>
    <t>遠隔研修に係る委託契約ガイドライン（2021年2月）</t>
    <rPh sb="0" eb="4">
      <t>エンカクケンシュウ</t>
    </rPh>
    <rPh sb="5" eb="6">
      <t>カカ</t>
    </rPh>
    <rPh sb="7" eb="9">
      <t>イタク</t>
    </rPh>
    <rPh sb="9" eb="11">
      <t>ケイヤク</t>
    </rPh>
    <rPh sb="22" eb="23">
      <t>ネン</t>
    </rPh>
    <rPh sb="24" eb="25">
      <t>ガツ</t>
    </rPh>
    <phoneticPr fontId="1"/>
  </si>
  <si>
    <t>2020年度事業費積算単価表（財務部）参照</t>
    <rPh sb="4" eb="5">
      <t>ネン</t>
    </rPh>
    <rPh sb="5" eb="6">
      <t>ド</t>
    </rPh>
    <rPh sb="6" eb="9">
      <t>ジギョウヒ</t>
    </rPh>
    <rPh sb="9" eb="11">
      <t>セキサン</t>
    </rPh>
    <rPh sb="11" eb="13">
      <t>タンカ</t>
    </rPh>
    <rPh sb="13" eb="14">
      <t>ヒョウ</t>
    </rPh>
    <rPh sb="15" eb="17">
      <t>ザイム</t>
    </rPh>
    <rPh sb="17" eb="18">
      <t>ブ</t>
    </rPh>
    <rPh sb="19" eb="21">
      <t>サンショウ</t>
    </rPh>
    <phoneticPr fontId="1"/>
  </si>
  <si>
    <t>契約部分積算内訳</t>
    <rPh sb="0" eb="2">
      <t>ケイヤク</t>
    </rPh>
    <rPh sb="2" eb="4">
      <t>ブブン</t>
    </rPh>
    <rPh sb="4" eb="6">
      <t>セキサン</t>
    </rPh>
    <rPh sb="6" eb="8">
      <t>ウチワケ</t>
    </rPh>
    <phoneticPr fontId="1"/>
  </si>
  <si>
    <t>I.直接費</t>
    <rPh sb="2" eb="4">
      <t>チョクセツ</t>
    </rPh>
    <rPh sb="4" eb="5">
      <t>ヒ</t>
    </rPh>
    <phoneticPr fontId="1"/>
  </si>
  <si>
    <t>【新契約の内訳】</t>
    <rPh sb="1" eb="4">
      <t>シンケイヤク</t>
    </rPh>
    <rPh sb="5" eb="7">
      <t>ウチワケ</t>
    </rPh>
    <phoneticPr fontId="1"/>
  </si>
  <si>
    <t>【GRIPS/JICE現行内訳】</t>
    <rPh sb="11" eb="13">
      <t>ゲンコウ</t>
    </rPh>
    <rPh sb="13" eb="15">
      <t>ウチワケ</t>
    </rPh>
    <phoneticPr fontId="1"/>
  </si>
  <si>
    <t>当初随契との差額</t>
    <rPh sb="0" eb="2">
      <t>トウショ</t>
    </rPh>
    <rPh sb="2" eb="4">
      <t>ズイケイ</t>
    </rPh>
    <rPh sb="6" eb="8">
      <t>サガク</t>
    </rPh>
    <phoneticPr fontId="1"/>
  </si>
  <si>
    <t>【現行契約（変更契約後）の内訳】</t>
    <rPh sb="1" eb="3">
      <t>ゲンコウ</t>
    </rPh>
    <rPh sb="3" eb="5">
      <t>ケイヤク</t>
    </rPh>
    <rPh sb="6" eb="8">
      <t>ヘンコウ</t>
    </rPh>
    <rPh sb="8" eb="10">
      <t>ケイヤク</t>
    </rPh>
    <rPh sb="10" eb="11">
      <t>ゴ</t>
    </rPh>
    <rPh sb="13" eb="15">
      <t>ウチワケ</t>
    </rPh>
    <phoneticPr fontId="1"/>
  </si>
  <si>
    <t>現行契約との差額</t>
    <rPh sb="0" eb="2">
      <t>ゲンコウ</t>
    </rPh>
    <rPh sb="2" eb="4">
      <t>ケイヤク</t>
    </rPh>
    <rPh sb="6" eb="8">
      <t>サガク</t>
    </rPh>
    <phoneticPr fontId="1"/>
  </si>
  <si>
    <t>％</t>
    <phoneticPr fontId="1"/>
  </si>
  <si>
    <t>１．直接経費</t>
    <phoneticPr fontId="1"/>
  </si>
  <si>
    <t>採用単価</t>
    <rPh sb="0" eb="2">
      <t>サイヨウ</t>
    </rPh>
    <rPh sb="2" eb="4">
      <t>タンカ</t>
    </rPh>
    <phoneticPr fontId="1"/>
  </si>
  <si>
    <t>人数</t>
    <rPh sb="0" eb="2">
      <t>ニンズウ</t>
    </rPh>
    <phoneticPr fontId="1"/>
  </si>
  <si>
    <t>積算根拠</t>
    <rPh sb="0" eb="2">
      <t>セキサン</t>
    </rPh>
    <rPh sb="2" eb="4">
      <t>コンキョ</t>
    </rPh>
    <phoneticPr fontId="1"/>
  </si>
  <si>
    <t>(1)</t>
    <phoneticPr fontId="1"/>
  </si>
  <si>
    <t>航空賃（エコノミー）</t>
    <rPh sb="0" eb="2">
      <t>コウクウ</t>
    </rPh>
    <rPh sb="2" eb="3">
      <t>チン</t>
    </rPh>
    <phoneticPr fontId="1"/>
  </si>
  <si>
    <t>(※1）</t>
    <phoneticPr fontId="1"/>
  </si>
  <si>
    <t>(2)</t>
  </si>
  <si>
    <t>宿泊費（本省局長級研修員）</t>
    <rPh sb="0" eb="3">
      <t>シュクハクヒ</t>
    </rPh>
    <rPh sb="4" eb="6">
      <t>ホンショウ</t>
    </rPh>
    <rPh sb="6" eb="9">
      <t>キョクチョウキュウ</t>
    </rPh>
    <rPh sb="9" eb="12">
      <t>ケンシュウイン</t>
    </rPh>
    <phoneticPr fontId="1"/>
  </si>
  <si>
    <t>(※2)</t>
    <phoneticPr fontId="1"/>
  </si>
  <si>
    <t>(3)</t>
  </si>
  <si>
    <t>日当（本省局長級研修員）</t>
    <rPh sb="0" eb="2">
      <t>ニットウ</t>
    </rPh>
    <phoneticPr fontId="1"/>
  </si>
  <si>
    <t>(※2）</t>
    <phoneticPr fontId="1"/>
  </si>
  <si>
    <t>(4)</t>
  </si>
  <si>
    <t>空港送迎費</t>
    <rPh sb="0" eb="2">
      <t>クウコウ</t>
    </rPh>
    <rPh sb="2" eb="4">
      <t>ソウゲイ</t>
    </rPh>
    <rPh sb="4" eb="5">
      <t>ヒ</t>
    </rPh>
    <phoneticPr fontId="1"/>
  </si>
  <si>
    <t>(5)</t>
  </si>
  <si>
    <t>国内交通費</t>
    <rPh sb="0" eb="2">
      <t>コクナイ</t>
    </rPh>
    <rPh sb="2" eb="4">
      <t>コウツウ</t>
    </rPh>
    <rPh sb="4" eb="5">
      <t>ヒ</t>
    </rPh>
    <phoneticPr fontId="1"/>
  </si>
  <si>
    <t>(6)</t>
  </si>
  <si>
    <t>車両借り上げ費</t>
    <rPh sb="0" eb="2">
      <t>シャリョウ</t>
    </rPh>
    <rPh sb="2" eb="3">
      <t>カ</t>
    </rPh>
    <rPh sb="4" eb="5">
      <t>ア</t>
    </rPh>
    <rPh sb="6" eb="7">
      <t>ヒ</t>
    </rPh>
    <phoneticPr fontId="1"/>
  </si>
  <si>
    <t>(7)</t>
  </si>
  <si>
    <t>海外保険料</t>
    <rPh sb="0" eb="2">
      <t>カイガイ</t>
    </rPh>
    <rPh sb="2" eb="5">
      <t>ホケンリョウ</t>
    </rPh>
    <phoneticPr fontId="1"/>
  </si>
  <si>
    <t>(8)</t>
  </si>
  <si>
    <t>査証関連費</t>
    <rPh sb="0" eb="2">
      <t>サショウ</t>
    </rPh>
    <rPh sb="2" eb="4">
      <t>カンレン</t>
    </rPh>
    <rPh sb="4" eb="5">
      <t>ヒ</t>
    </rPh>
    <phoneticPr fontId="1"/>
  </si>
  <si>
    <t>(9)</t>
  </si>
  <si>
    <t>20講義　×　70分　＝　1400分
1400分　÷　60分　＝　23.3時間</t>
    <phoneticPr fontId="1"/>
  </si>
  <si>
    <t>(10)</t>
  </si>
  <si>
    <t>旅費・交通費（講師）</t>
    <rPh sb="0" eb="2">
      <t>リョヒ</t>
    </rPh>
    <rPh sb="3" eb="5">
      <t>コウツウ</t>
    </rPh>
    <rPh sb="5" eb="6">
      <t>ヒ</t>
    </rPh>
    <rPh sb="7" eb="9">
      <t>コウシ</t>
    </rPh>
    <phoneticPr fontId="1"/>
  </si>
  <si>
    <t>(11)</t>
  </si>
  <si>
    <t>見学先謝金</t>
    <rPh sb="0" eb="2">
      <t>ケンガク</t>
    </rPh>
    <rPh sb="2" eb="3">
      <t>サキ</t>
    </rPh>
    <rPh sb="3" eb="5">
      <t>シャキン</t>
    </rPh>
    <phoneticPr fontId="1"/>
  </si>
  <si>
    <t>東京1箇所、地方1箇所を想定</t>
    <rPh sb="0" eb="2">
      <t>トウキョウ</t>
    </rPh>
    <rPh sb="3" eb="5">
      <t>カショ</t>
    </rPh>
    <rPh sb="6" eb="8">
      <t>チホウ</t>
    </rPh>
    <rPh sb="9" eb="11">
      <t>カショ</t>
    </rPh>
    <rPh sb="12" eb="14">
      <t>ソウテイ</t>
    </rPh>
    <phoneticPr fontId="1"/>
  </si>
  <si>
    <t>(12)</t>
  </si>
  <si>
    <t>研修随行者旅費</t>
    <rPh sb="0" eb="2">
      <t>ケンシュウ</t>
    </rPh>
    <rPh sb="2" eb="5">
      <t>ズイコウシャ</t>
    </rPh>
    <rPh sb="5" eb="7">
      <t>リョヒ</t>
    </rPh>
    <phoneticPr fontId="1"/>
  </si>
  <si>
    <t>(13)</t>
  </si>
  <si>
    <t>資料作成費（翻訳・校正費）</t>
    <rPh sb="0" eb="2">
      <t>シリョウ</t>
    </rPh>
    <rPh sb="2" eb="4">
      <t>サクセイ</t>
    </rPh>
    <rPh sb="4" eb="5">
      <t>ヒ</t>
    </rPh>
    <rPh sb="6" eb="8">
      <t>ホンヤク</t>
    </rPh>
    <rPh sb="9" eb="11">
      <t>コウセイ</t>
    </rPh>
    <rPh sb="11" eb="12">
      <t>ヒ</t>
    </rPh>
    <phoneticPr fontId="1"/>
  </si>
  <si>
    <t>(14)</t>
  </si>
  <si>
    <t>通訳(研修監理員)</t>
    <rPh sb="0" eb="2">
      <t>ツウヤク</t>
    </rPh>
    <phoneticPr fontId="1"/>
  </si>
  <si>
    <t>(15)</t>
  </si>
  <si>
    <t>会場借上げ及び会議等研修費用</t>
    <rPh sb="0" eb="2">
      <t>カイジョウ</t>
    </rPh>
    <rPh sb="2" eb="4">
      <t>カリア</t>
    </rPh>
    <rPh sb="5" eb="6">
      <t>オヨ</t>
    </rPh>
    <rPh sb="7" eb="10">
      <t>カイギナド</t>
    </rPh>
    <rPh sb="10" eb="12">
      <t>ケンシュウ</t>
    </rPh>
    <rPh sb="12" eb="14">
      <t>ヒヨウ</t>
    </rPh>
    <phoneticPr fontId="1"/>
  </si>
  <si>
    <t>(16)</t>
  </si>
  <si>
    <t>消耗品費等</t>
    <rPh sb="0" eb="2">
      <t>ショウモウ</t>
    </rPh>
    <rPh sb="2" eb="3">
      <t>ヒン</t>
    </rPh>
    <rPh sb="3" eb="4">
      <t>ヒ</t>
    </rPh>
    <rPh sb="4" eb="5">
      <t>ナド</t>
    </rPh>
    <phoneticPr fontId="1"/>
  </si>
  <si>
    <t>(17)</t>
    <phoneticPr fontId="1"/>
  </si>
  <si>
    <t>拝観料・施設入場料</t>
    <rPh sb="0" eb="3">
      <t>ハイカンリョウ</t>
    </rPh>
    <phoneticPr fontId="1"/>
  </si>
  <si>
    <t>-</t>
    <phoneticPr fontId="1"/>
  </si>
  <si>
    <t>(18)</t>
  </si>
  <si>
    <t>研修アドバイザー委託業務</t>
    <rPh sb="0" eb="2">
      <t>ケンシュウ</t>
    </rPh>
    <rPh sb="8" eb="10">
      <t>イタク</t>
    </rPh>
    <rPh sb="10" eb="12">
      <t>ギョウム</t>
    </rPh>
    <phoneticPr fontId="1"/>
  </si>
  <si>
    <t>※　業務人件費同様、設計業務委託等技術者単価（技師（A）相当）を参照。</t>
  </si>
  <si>
    <t>(19)</t>
  </si>
  <si>
    <t>通訳費（日ーベトナム）</t>
  </si>
  <si>
    <t>(20)</t>
  </si>
  <si>
    <t>(21)</t>
  </si>
  <si>
    <t>研修通信費</t>
    <rPh sb="0" eb="2">
      <t>ケンシュウ</t>
    </rPh>
    <rPh sb="2" eb="5">
      <t>ツウシンヒ</t>
    </rPh>
    <phoneticPr fontId="1"/>
  </si>
  <si>
    <t>その他研修実施費用</t>
    <rPh sb="2" eb="3">
      <t>ホカ</t>
    </rPh>
    <rPh sb="3" eb="5">
      <t>ケンシュウ</t>
    </rPh>
    <rPh sb="5" eb="7">
      <t>ジッシ</t>
    </rPh>
    <rPh sb="7" eb="9">
      <t>ヒヨウ</t>
    </rPh>
    <phoneticPr fontId="1"/>
  </si>
  <si>
    <t>２．直接人件費</t>
    <rPh sb="2" eb="4">
      <t>チョクセツ</t>
    </rPh>
    <rPh sb="4" eb="7">
      <t>ジンケンヒ</t>
    </rPh>
    <phoneticPr fontId="1"/>
  </si>
  <si>
    <t>M/D</t>
    <phoneticPr fontId="1"/>
  </si>
  <si>
    <t>M/M</t>
    <phoneticPr fontId="1"/>
  </si>
  <si>
    <t>採用単価（日額）M/D</t>
    <rPh sb="0" eb="2">
      <t>サイヨウ</t>
    </rPh>
    <rPh sb="2" eb="4">
      <t>タンカ</t>
    </rPh>
    <rPh sb="5" eb="7">
      <t>ニチガク</t>
    </rPh>
    <phoneticPr fontId="1"/>
  </si>
  <si>
    <t>総括</t>
    <rPh sb="0" eb="2">
      <t>ソウカツ</t>
    </rPh>
    <phoneticPr fontId="1"/>
  </si>
  <si>
    <t>現地0.17+国内5.0</t>
    <rPh sb="0" eb="2">
      <t>ゲンチ</t>
    </rPh>
    <rPh sb="7" eb="9">
      <t>コクナイ</t>
    </rPh>
    <phoneticPr fontId="1"/>
  </si>
  <si>
    <t>現地5.00+国内100.00</t>
    <rPh sb="0" eb="2">
      <t>ゲンチ</t>
    </rPh>
    <rPh sb="7" eb="9">
      <t>コクナイ</t>
    </rPh>
    <phoneticPr fontId="1"/>
  </si>
  <si>
    <t>国交省単価</t>
    <rPh sb="0" eb="3">
      <t>コッコウショウ</t>
    </rPh>
    <rPh sb="3" eb="5">
      <t>タンカ</t>
    </rPh>
    <phoneticPr fontId="1"/>
  </si>
  <si>
    <t>(2)</t>
    <phoneticPr fontId="1"/>
  </si>
  <si>
    <t>研修運営計画(1)</t>
    <rPh sb="0" eb="2">
      <t>ケンシュウ</t>
    </rPh>
    <rPh sb="2" eb="4">
      <t>ウンエイ</t>
    </rPh>
    <rPh sb="4" eb="6">
      <t>ケイカク</t>
    </rPh>
    <phoneticPr fontId="1"/>
  </si>
  <si>
    <t>現地0.17+国内10.0</t>
    <rPh sb="0" eb="2">
      <t>ゲンチ</t>
    </rPh>
    <rPh sb="7" eb="9">
      <t>コクナイ</t>
    </rPh>
    <phoneticPr fontId="1"/>
  </si>
  <si>
    <t>現地5.00+国内200.00</t>
    <rPh sb="0" eb="2">
      <t>ゲンチ</t>
    </rPh>
    <rPh sb="7" eb="9">
      <t>コクナイ</t>
    </rPh>
    <phoneticPr fontId="1"/>
  </si>
  <si>
    <t>(3)</t>
    <phoneticPr fontId="1"/>
  </si>
  <si>
    <t>研修事務管理(1)</t>
    <rPh sb="0" eb="2">
      <t>ケンシュウ</t>
    </rPh>
    <rPh sb="2" eb="4">
      <t>ジム</t>
    </rPh>
    <rPh sb="4" eb="6">
      <t>カンリ</t>
    </rPh>
    <phoneticPr fontId="1"/>
  </si>
  <si>
    <t>国内のみ</t>
    <rPh sb="0" eb="2">
      <t>コクナイ</t>
    </rPh>
    <phoneticPr fontId="1"/>
  </si>
  <si>
    <t>II.間接費</t>
    <rPh sb="3" eb="5">
      <t>カンセツ</t>
    </rPh>
    <rPh sb="5" eb="6">
      <t>ヒ</t>
    </rPh>
    <phoneticPr fontId="1"/>
  </si>
  <si>
    <t>直接人件費×30%/（1-30%）</t>
    <rPh sb="0" eb="2">
      <t>チョクセツ</t>
    </rPh>
    <rPh sb="2" eb="5">
      <t>ジンケンヒ</t>
    </rPh>
    <phoneticPr fontId="1"/>
  </si>
  <si>
    <t>積算根拠</t>
    <phoneticPr fontId="1"/>
  </si>
  <si>
    <t>その他原価</t>
    <rPh sb="2" eb="3">
      <t>タ</t>
    </rPh>
    <rPh sb="3" eb="5">
      <t>ゲンカ</t>
    </rPh>
    <phoneticPr fontId="1"/>
  </si>
  <si>
    <t>直接人件費×55%</t>
    <rPh sb="0" eb="2">
      <t>チョクセツ</t>
    </rPh>
    <rPh sb="2" eb="5">
      <t>ジンケンヒ</t>
    </rPh>
    <phoneticPr fontId="1"/>
  </si>
  <si>
    <t>一般管理費等</t>
    <rPh sb="0" eb="2">
      <t>イッパン</t>
    </rPh>
    <rPh sb="2" eb="5">
      <t>カンリヒ</t>
    </rPh>
    <rPh sb="5" eb="6">
      <t>ナド</t>
    </rPh>
    <phoneticPr fontId="1"/>
  </si>
  <si>
    <t>（直接人件費＋その他原価）×40%</t>
    <rPh sb="1" eb="3">
      <t>チョクセツ</t>
    </rPh>
    <rPh sb="3" eb="6">
      <t>ジンケンヒ</t>
    </rPh>
    <rPh sb="9" eb="10">
      <t>タ</t>
    </rPh>
    <rPh sb="10" eb="12">
      <t>ゲンカ</t>
    </rPh>
    <phoneticPr fontId="1"/>
  </si>
  <si>
    <t>III.消費税</t>
    <rPh sb="4" eb="7">
      <t>ショウヒゼイ</t>
    </rPh>
    <phoneticPr fontId="1"/>
  </si>
  <si>
    <t>（I+II-)×10％</t>
    <phoneticPr fontId="1"/>
  </si>
  <si>
    <t>（I+II-)×8％</t>
    <phoneticPr fontId="1"/>
  </si>
  <si>
    <t>　</t>
    <phoneticPr fontId="1"/>
  </si>
  <si>
    <t>（※1）2018年12月26日類似契約「ベトナム戦略的幹部研修運営管理業務」における精算時の実績単価（短期研修（11泊12日））
（※2）研修委託先契約における見積書作成マニュアル</t>
    <rPh sb="8" eb="9">
      <t>ネン</t>
    </rPh>
    <rPh sb="11" eb="12">
      <t>ツキ</t>
    </rPh>
    <rPh sb="14" eb="15">
      <t>ニチ</t>
    </rPh>
    <rPh sb="15" eb="17">
      <t>ルイジ</t>
    </rPh>
    <rPh sb="17" eb="19">
      <t>ケイヤク</t>
    </rPh>
    <rPh sb="24" eb="31">
      <t>センリャクテキカンブケンシュウ</t>
    </rPh>
    <rPh sb="31" eb="33">
      <t>ウンエイ</t>
    </rPh>
    <rPh sb="33" eb="35">
      <t>カンリ</t>
    </rPh>
    <rPh sb="35" eb="37">
      <t>ギョウム</t>
    </rPh>
    <rPh sb="42" eb="44">
      <t>セイサン</t>
    </rPh>
    <rPh sb="44" eb="45">
      <t>ジ</t>
    </rPh>
    <rPh sb="46" eb="48">
      <t>ジッセキ</t>
    </rPh>
    <rPh sb="48" eb="50">
      <t>タンカ</t>
    </rPh>
    <rPh sb="69" eb="71">
      <t>ケンシュウ</t>
    </rPh>
    <rPh sb="71" eb="74">
      <t>イタクサキ</t>
    </rPh>
    <rPh sb="74" eb="76">
      <t>ケイヤク</t>
    </rPh>
    <rPh sb="80" eb="83">
      <t>ミツモリショ</t>
    </rPh>
    <rPh sb="83" eb="85">
      <t>サクセイ</t>
    </rPh>
    <phoneticPr fontId="1"/>
  </si>
  <si>
    <t>●研修は全て4週間（27泊28日）の実施を想定</t>
    <rPh sb="1" eb="3">
      <t>ケンシュウ</t>
    </rPh>
    <rPh sb="4" eb="5">
      <t>スベ</t>
    </rPh>
    <rPh sb="7" eb="9">
      <t>シュウカン</t>
    </rPh>
    <rPh sb="12" eb="13">
      <t>ハク</t>
    </rPh>
    <rPh sb="15" eb="16">
      <t>ニチ</t>
    </rPh>
    <rPh sb="18" eb="20">
      <t>ジッシ</t>
    </rPh>
    <rPh sb="21" eb="23">
      <t>ソウテイ</t>
    </rPh>
    <phoneticPr fontId="1"/>
  </si>
  <si>
    <t>(※2) 27泊28日で計算</t>
    <rPh sb="7" eb="8">
      <t>ハク</t>
    </rPh>
    <rPh sb="10" eb="11">
      <t>ニチ</t>
    </rPh>
    <rPh sb="12" eb="14">
      <t>ケイサン</t>
    </rPh>
    <phoneticPr fontId="1"/>
  </si>
  <si>
    <t>(※2）27泊28日で計算</t>
    <phoneticPr fontId="1"/>
  </si>
  <si>
    <t>22講義(18コマ＋振り返り・発表4コマ)　×　70分　＝1540分
1540分　÷　60分　＝　25.7時間</t>
    <rPh sb="10" eb="11">
      <t>フ</t>
    </rPh>
    <rPh sb="12" eb="13">
      <t>カエ</t>
    </rPh>
    <rPh sb="15" eb="17">
      <t>ハッピョウ</t>
    </rPh>
    <phoneticPr fontId="1"/>
  </si>
  <si>
    <t>東京4箇所、地方1箇所を想定</t>
    <rPh sb="0" eb="2">
      <t>トウキョウ</t>
    </rPh>
    <rPh sb="3" eb="5">
      <t>カショ</t>
    </rPh>
    <rPh sb="6" eb="8">
      <t>チホウ</t>
    </rPh>
    <rPh sb="9" eb="11">
      <t>カショ</t>
    </rPh>
    <rPh sb="12" eb="14">
      <t>ソウテイ</t>
    </rPh>
    <phoneticPr fontId="1"/>
  </si>
  <si>
    <t>(※1）の2倍で積</t>
    <rPh sb="6" eb="7">
      <t>バイ</t>
    </rPh>
    <rPh sb="8" eb="9">
      <t>セキ</t>
    </rPh>
    <phoneticPr fontId="1"/>
  </si>
  <si>
    <t>(※1）の単価を踏まえ、27泊28日想定で再積算</t>
    <rPh sb="5" eb="7">
      <t>タンカ</t>
    </rPh>
    <rPh sb="8" eb="9">
      <t>フ</t>
    </rPh>
    <rPh sb="14" eb="15">
      <t>ハク</t>
    </rPh>
    <rPh sb="17" eb="18">
      <t>ニチ</t>
    </rPh>
    <rPh sb="18" eb="20">
      <t>ソウテイ</t>
    </rPh>
    <rPh sb="21" eb="22">
      <t>サイ</t>
    </rPh>
    <rPh sb="22" eb="24">
      <t>セキサン</t>
    </rPh>
    <phoneticPr fontId="1"/>
  </si>
  <si>
    <t>※　業務人件費同様、設計業務委託等技術者単価（技師（A）相当）を参照、研修実施の20日で積算。</t>
    <rPh sb="35" eb="37">
      <t>ケンシュウ</t>
    </rPh>
    <rPh sb="37" eb="39">
      <t>ジッシ</t>
    </rPh>
    <rPh sb="42" eb="43">
      <t>ニチ</t>
    </rPh>
    <rPh sb="44" eb="46">
      <t>セキサン</t>
    </rPh>
    <phoneticPr fontId="1"/>
  </si>
  <si>
    <t>日程案（4週間）</t>
  </si>
  <si>
    <t>#</t>
  </si>
  <si>
    <t>曜日</t>
  </si>
  <si>
    <t>内容</t>
  </si>
  <si>
    <t>(必要に応じて)事前学習</t>
  </si>
  <si>
    <t>オンライン講義「日本の社会・政治・経済」やオンライン視察(例：国分寺)</t>
  </si>
  <si>
    <t>日</t>
  </si>
  <si>
    <t>移動（ベトナム→日本）</t>
  </si>
  <si>
    <t>月</t>
  </si>
  <si>
    <t>プロオリ＋基礎講義①（午後1コマ）</t>
  </si>
  <si>
    <t>火</t>
  </si>
  <si>
    <t>基礎講義②③（午前1コマ＋午後1コマ）</t>
  </si>
  <si>
    <t>水</t>
  </si>
  <si>
    <t>基礎講義④（午前1コマ）＋午後都内視察</t>
  </si>
  <si>
    <t>木</t>
  </si>
  <si>
    <t>基礎講義⑤⑥（午前1コマ＋午後1コマ）</t>
  </si>
  <si>
    <t>金</t>
  </si>
  <si>
    <t>基礎講義⑦（午前1コマ）＋午後都内視察</t>
  </si>
  <si>
    <t>土</t>
  </si>
  <si>
    <t>休み</t>
  </si>
  <si>
    <t>基礎講義⑧⑨（午前1コマ＋午後1コマ）</t>
  </si>
  <si>
    <t>発展講義①②（午前1コマ＋午後1コマ）</t>
  </si>
  <si>
    <t>発展講義③（午前1コマ）＋午後都内視察</t>
  </si>
  <si>
    <t>発展講義④⑤（午前1コマ＋午後1コマ）</t>
  </si>
  <si>
    <t>発展講義⑥（午前1コマ）＋午後都内視察</t>
  </si>
  <si>
    <t>発展講義⑦⑧（午前1コマ＋午後1コマ）</t>
  </si>
  <si>
    <t>発展講義⑨（午前1コマ）＋午後研修前半振り返りor地方移動</t>
  </si>
  <si>
    <t>地方視察①</t>
  </si>
  <si>
    <t>地方視察②</t>
  </si>
  <si>
    <t>地方視察③</t>
  </si>
  <si>
    <t>研修員ディスカッション・振り返り①</t>
  </si>
  <si>
    <t>研修員ディスカッション・振り返り②</t>
  </si>
  <si>
    <t>研修員ディスカッション・振り返り③</t>
  </si>
  <si>
    <t>準備日</t>
  </si>
  <si>
    <t>最終発表・レポート提出</t>
  </si>
  <si>
    <t>移動（日本→ベトナム）</t>
  </si>
  <si>
    <t>※1</t>
  </si>
  <si>
    <t>先生がご準備しているコマ数は基礎・発展講義を合計し合計で18コマ。座学の場合、1コマ2時間半想定（70分日本語の講義+70分逐語訳+10分休憩）</t>
  </si>
  <si>
    <t>(例) 午前のコマ：9:30~12:00、昼休み12:00~14:00、午後のコマ14:00~16:30、その後一日の講義の振り返り</t>
  </si>
  <si>
    <t>※2</t>
  </si>
  <si>
    <t>先生はもともと1泊2日の都内視察、2泊3日の地方視察を想定。都内視察は前半2週間に分散配置。</t>
  </si>
  <si>
    <t>都内視察内容はマクロ(Hard) 視察（ゴミ処理施設、下水道処理施設、消防施設、高齢者施設、保育所など）、ミクロ研修(Soft) (ゴミ分別、小学校視察等）の双方。</t>
  </si>
  <si>
    <t>※3</t>
  </si>
  <si>
    <t>発展講義は自治体職員による講義と現場視察を想定しているため、必要に応じて都内を移動する。</t>
  </si>
  <si>
    <t>別紙2</t>
    <rPh sb="0" eb="2">
      <t>ベッシ</t>
    </rPh>
    <phoneticPr fontId="1"/>
  </si>
  <si>
    <t>積算様式</t>
    <rPh sb="0" eb="2">
      <t>セキサン</t>
    </rPh>
    <rPh sb="2" eb="4">
      <t>ヨウシキ</t>
    </rPh>
    <phoneticPr fontId="23"/>
  </si>
  <si>
    <t>作成日：</t>
    <rPh sb="0" eb="3">
      <t>サクセイビ</t>
    </rPh>
    <phoneticPr fontId="23"/>
  </si>
  <si>
    <t>企業/団体/組織名称：</t>
    <rPh sb="0" eb="2">
      <t>キギョウ</t>
    </rPh>
    <rPh sb="3" eb="5">
      <t>ダンタイ</t>
    </rPh>
    <rPh sb="6" eb="8">
      <t>ソシキ</t>
    </rPh>
    <rPh sb="8" eb="10">
      <t>メイショウ</t>
    </rPh>
    <phoneticPr fontId="23"/>
  </si>
  <si>
    <t>代表者</t>
    <rPh sb="0" eb="3">
      <t>ダイヒョウシャ</t>
    </rPh>
    <phoneticPr fontId="23"/>
  </si>
  <si>
    <t>役職・氏名：</t>
    <phoneticPr fontId="23"/>
  </si>
  <si>
    <t>担当者</t>
    <rPh sb="0" eb="3">
      <t>タントウシャ</t>
    </rPh>
    <phoneticPr fontId="23"/>
  </si>
  <si>
    <t>所属先：</t>
    <rPh sb="0" eb="3">
      <t>ショゾクサキ</t>
    </rPh>
    <phoneticPr fontId="23"/>
  </si>
  <si>
    <t>氏名：</t>
    <phoneticPr fontId="23"/>
  </si>
  <si>
    <t>◆</t>
    <phoneticPr fontId="23"/>
  </si>
  <si>
    <t>調達管理番号：</t>
    <rPh sb="0" eb="6">
      <t>チョウタツカンリバンゴウ</t>
    </rPh>
    <phoneticPr fontId="23"/>
  </si>
  <si>
    <t>24a00433</t>
    <phoneticPr fontId="1"/>
  </si>
  <si>
    <t>案件名：</t>
    <rPh sb="0" eb="3">
      <t>アンケンメイ</t>
    </rPh>
    <phoneticPr fontId="23"/>
  </si>
  <si>
    <t>「ベトナム戦略的幹部研修プロジェクトにおける戦略的幹部養成研修事業運営管理業務」</t>
    <phoneticPr fontId="1"/>
  </si>
  <si>
    <t>Ⅰ．業務の対価（報酬）</t>
    <rPh sb="2" eb="4">
      <t>ギョウム</t>
    </rPh>
    <rPh sb="5" eb="7">
      <t>タイカ</t>
    </rPh>
    <rPh sb="8" eb="10">
      <t>ホウシュウ</t>
    </rPh>
    <phoneticPr fontId="23"/>
  </si>
  <si>
    <t>１．直接人件費</t>
    <rPh sb="2" eb="7">
      <t>チョクセツジンケンヒ</t>
    </rPh>
    <phoneticPr fontId="23"/>
  </si>
  <si>
    <t>通貨：円</t>
    <rPh sb="0" eb="2">
      <t>ツウカ</t>
    </rPh>
    <rPh sb="3" eb="4">
      <t>エン</t>
    </rPh>
    <phoneticPr fontId="23"/>
  </si>
  <si>
    <t>担当分野</t>
    <rPh sb="0" eb="4">
      <t>タントウブンヤ</t>
    </rPh>
    <phoneticPr fontId="23"/>
  </si>
  <si>
    <t>単価</t>
    <rPh sb="0" eb="2">
      <t>タンカ</t>
    </rPh>
    <phoneticPr fontId="23"/>
  </si>
  <si>
    <t>工数</t>
    <rPh sb="0" eb="2">
      <t>コウスウ</t>
    </rPh>
    <phoneticPr fontId="23"/>
  </si>
  <si>
    <t>計</t>
    <rPh sb="0" eb="1">
      <t>ケイ</t>
    </rPh>
    <phoneticPr fontId="23"/>
  </si>
  <si>
    <t>備考</t>
    <rPh sb="0" eb="2">
      <t>ビコウ</t>
    </rPh>
    <phoneticPr fontId="23"/>
  </si>
  <si>
    <t>数量</t>
    <rPh sb="0" eb="2">
      <t>スウリョウ</t>
    </rPh>
    <phoneticPr fontId="23"/>
  </si>
  <si>
    <t>単位</t>
    <rPh sb="0" eb="2">
      <t>タンイ</t>
    </rPh>
    <phoneticPr fontId="23"/>
  </si>
  <si>
    <t>人日</t>
  </si>
  <si>
    <t>直接人件費　合計</t>
    <rPh sb="0" eb="5">
      <t>チョクセツジンケンヒ</t>
    </rPh>
    <rPh sb="6" eb="8">
      <t>ゴウケイ</t>
    </rPh>
    <phoneticPr fontId="23"/>
  </si>
  <si>
    <t>円</t>
    <rPh sb="0" eb="1">
      <t>エン</t>
    </rPh>
    <phoneticPr fontId="23"/>
  </si>
  <si>
    <t>２．一般管理費等</t>
    <phoneticPr fontId="23"/>
  </si>
  <si>
    <t>直接人件費 合計の</t>
    <rPh sb="0" eb="5">
      <t>チョクセツジンケンヒ</t>
    </rPh>
    <rPh sb="6" eb="8">
      <t>ゴウケイ</t>
    </rPh>
    <phoneticPr fontId="23"/>
  </si>
  <si>
    <t>一般管理費等　計</t>
    <rPh sb="7" eb="8">
      <t>ケイ</t>
    </rPh>
    <phoneticPr fontId="23"/>
  </si>
  <si>
    <t>業務の対価（報酬）　合計　(１＋２）</t>
    <rPh sb="0" eb="2">
      <t>ギョウム</t>
    </rPh>
    <rPh sb="3" eb="5">
      <t>タイカ</t>
    </rPh>
    <rPh sb="6" eb="8">
      <t>ホウシュウ</t>
    </rPh>
    <rPh sb="10" eb="12">
      <t>ゴウケイ</t>
    </rPh>
    <phoneticPr fontId="23"/>
  </si>
  <si>
    <t>円（税抜）</t>
    <rPh sb="0" eb="1">
      <t>エン</t>
    </rPh>
    <rPh sb="2" eb="5">
      <t>ゼイ</t>
    </rPh>
    <phoneticPr fontId="23"/>
  </si>
  <si>
    <t>Ⅱ．直接経費</t>
    <rPh sb="2" eb="6">
      <t>チョクセツケイヒ</t>
    </rPh>
    <phoneticPr fontId="23"/>
  </si>
  <si>
    <t>１．</t>
    <phoneticPr fontId="23"/>
  </si>
  <si>
    <t>現地研修</t>
    <rPh sb="0" eb="2">
      <t>ゲンチ</t>
    </rPh>
    <rPh sb="2" eb="4">
      <t>ケンシュウ</t>
    </rPh>
    <phoneticPr fontId="1"/>
  </si>
  <si>
    <t>費目</t>
    <rPh sb="0" eb="2">
      <t>ヒモク</t>
    </rPh>
    <phoneticPr fontId="23"/>
  </si>
  <si>
    <t>現地研修実施費用（定額計上）</t>
    <rPh sb="0" eb="2">
      <t>ゲンチ</t>
    </rPh>
    <rPh sb="2" eb="4">
      <t>ケンシュウ</t>
    </rPh>
    <rPh sb="4" eb="6">
      <t>ジッシ</t>
    </rPh>
    <rPh sb="6" eb="8">
      <t>ヒヨウ</t>
    </rPh>
    <rPh sb="9" eb="11">
      <t>テイガク</t>
    </rPh>
    <rPh sb="11" eb="13">
      <t>ケイジョウ</t>
    </rPh>
    <phoneticPr fontId="1"/>
  </si>
  <si>
    <t>回</t>
    <rPh sb="0" eb="1">
      <t>カイ</t>
    </rPh>
    <phoneticPr fontId="1"/>
  </si>
  <si>
    <t>詳細は「①現地研修」タブ参照</t>
    <rPh sb="0" eb="2">
      <t>ショウサイ</t>
    </rPh>
    <rPh sb="5" eb="7">
      <t>ゲンチ</t>
    </rPh>
    <rPh sb="7" eb="9">
      <t>ケンシュウ</t>
    </rPh>
    <rPh sb="12" eb="14">
      <t>サンショウ</t>
    </rPh>
    <phoneticPr fontId="1"/>
  </si>
  <si>
    <t>現地研修実施費用</t>
    <rPh sb="0" eb="2">
      <t>ゲンチ</t>
    </rPh>
    <rPh sb="2" eb="4">
      <t>ケンシュウ</t>
    </rPh>
    <rPh sb="4" eb="6">
      <t>ジッシ</t>
    </rPh>
    <rPh sb="6" eb="8">
      <t>ヒヨウ</t>
    </rPh>
    <phoneticPr fontId="1"/>
  </si>
  <si>
    <t>合計</t>
    <rPh sb="0" eb="2">
      <t>ゴウケイ</t>
    </rPh>
    <phoneticPr fontId="23"/>
  </si>
  <si>
    <t>２．</t>
    <phoneticPr fontId="23"/>
  </si>
  <si>
    <t>訪日研修</t>
    <rPh sb="0" eb="2">
      <t>ホウニチ</t>
    </rPh>
    <rPh sb="2" eb="4">
      <t>ケンシュウ</t>
    </rPh>
    <phoneticPr fontId="1"/>
  </si>
  <si>
    <t>訪日研修実施費用（定額計上）</t>
    <rPh sb="0" eb="2">
      <t>ホウニチ</t>
    </rPh>
    <rPh sb="2" eb="4">
      <t>ケンシュウ</t>
    </rPh>
    <rPh sb="4" eb="6">
      <t>ジッシ</t>
    </rPh>
    <rPh sb="6" eb="8">
      <t>ヒヨウ</t>
    </rPh>
    <rPh sb="9" eb="11">
      <t>テイガク</t>
    </rPh>
    <rPh sb="11" eb="13">
      <t>ケイジョウ</t>
    </rPh>
    <phoneticPr fontId="1"/>
  </si>
  <si>
    <t>詳細は「②訪日研修」タブ参照</t>
    <rPh sb="0" eb="2">
      <t>ショウサイ</t>
    </rPh>
    <rPh sb="5" eb="7">
      <t>ホウニチ</t>
    </rPh>
    <rPh sb="7" eb="9">
      <t>ケンシュウ</t>
    </rPh>
    <rPh sb="12" eb="14">
      <t>サンショウ</t>
    </rPh>
    <phoneticPr fontId="1"/>
  </si>
  <si>
    <t>訪日研修実施費用</t>
    <rPh sb="0" eb="2">
      <t>ホウニチ</t>
    </rPh>
    <rPh sb="2" eb="4">
      <t>ケンシュウ</t>
    </rPh>
    <rPh sb="4" eb="6">
      <t>ジッシ</t>
    </rPh>
    <rPh sb="6" eb="8">
      <t>ヒヨウ</t>
    </rPh>
    <phoneticPr fontId="1"/>
  </si>
  <si>
    <t>直接経費　合計　(１＋２）</t>
    <rPh sb="0" eb="4">
      <t>チョクセツケイヒ</t>
    </rPh>
    <rPh sb="5" eb="7">
      <t>ゴウケイ</t>
    </rPh>
    <phoneticPr fontId="23"/>
  </si>
  <si>
    <t>円（税抜）</t>
    <rPh sb="0" eb="1">
      <t>エン</t>
    </rPh>
    <rPh sb="2" eb="4">
      <t>ゼイヌ</t>
    </rPh>
    <phoneticPr fontId="23"/>
  </si>
  <si>
    <t>Ⅲ．小計　（Ⅰ＋Ⅱ）</t>
    <rPh sb="2" eb="4">
      <t>ショウケイ</t>
    </rPh>
    <phoneticPr fontId="23"/>
  </si>
  <si>
    <t>円（税抜）（入札金額）</t>
    <rPh sb="0" eb="1">
      <t>エン</t>
    </rPh>
    <rPh sb="2" eb="4">
      <t>ゼイヌ</t>
    </rPh>
    <rPh sb="6" eb="8">
      <t>ニュウサツ</t>
    </rPh>
    <rPh sb="8" eb="10">
      <t>キンガク</t>
    </rPh>
    <phoneticPr fontId="23"/>
  </si>
  <si>
    <t>Ⅳ．消費税</t>
    <rPh sb="2" eb="5">
      <t>ショウヒゼイ</t>
    </rPh>
    <phoneticPr fontId="23"/>
  </si>
  <si>
    <t>Ⅴ．契約金額　合計　（Ⅲ＋Ⅳ）</t>
    <rPh sb="2" eb="6">
      <t>ケイヤクキンガク</t>
    </rPh>
    <rPh sb="7" eb="9">
      <t>ゴウケイ</t>
    </rPh>
    <phoneticPr fontId="23"/>
  </si>
  <si>
    <t>円（税込）</t>
    <rPh sb="0" eb="1">
      <t>エン</t>
    </rPh>
    <rPh sb="2" eb="4">
      <t>ゼイコミ</t>
    </rPh>
    <phoneticPr fontId="23"/>
  </si>
  <si>
    <t>②現地研修1回実施に係る経費概算</t>
    <rPh sb="1" eb="3">
      <t>ゲンチ</t>
    </rPh>
    <rPh sb="3" eb="5">
      <t>ケンシュウ</t>
    </rPh>
    <rPh sb="6" eb="7">
      <t>カイ</t>
    </rPh>
    <rPh sb="7" eb="9">
      <t>ジッシ</t>
    </rPh>
    <rPh sb="10" eb="11">
      <t>カカ</t>
    </rPh>
    <rPh sb="12" eb="14">
      <t>ケイヒ</t>
    </rPh>
    <rPh sb="14" eb="16">
      <t>ガイサン</t>
    </rPh>
    <phoneticPr fontId="1"/>
  </si>
  <si>
    <t>単価</t>
    <phoneticPr fontId="1"/>
  </si>
  <si>
    <t>渡航経費</t>
    <rPh sb="0" eb="2">
      <t>トコウ</t>
    </rPh>
    <rPh sb="2" eb="4">
      <t>ケイヒ</t>
    </rPh>
    <phoneticPr fontId="1"/>
  </si>
  <si>
    <t>国際航空賃</t>
    <rPh sb="0" eb="2">
      <t>コクサイ</t>
    </rPh>
    <phoneticPr fontId="1"/>
  </si>
  <si>
    <t>往復</t>
    <rPh sb="0" eb="2">
      <t>オウフク</t>
    </rPh>
    <phoneticPr fontId="1"/>
  </si>
  <si>
    <t>名</t>
    <rPh sb="0" eb="1">
      <t>メイ</t>
    </rPh>
    <phoneticPr fontId="1"/>
  </si>
  <si>
    <t>宿泊費（定額計上）</t>
    <phoneticPr fontId="1"/>
  </si>
  <si>
    <t>泊</t>
    <rPh sb="0" eb="1">
      <t>ハク</t>
    </rPh>
    <phoneticPr fontId="1"/>
  </si>
  <si>
    <t>JICA調査団派遣時単価、単価に実績数量を乗じて支払う。特号、丙地方単価。</t>
    <rPh sb="4" eb="6">
      <t>チョウサ</t>
    </rPh>
    <rPh sb="6" eb="7">
      <t>ダン</t>
    </rPh>
    <rPh sb="7" eb="9">
      <t>ハケン</t>
    </rPh>
    <rPh sb="9" eb="10">
      <t>ジ</t>
    </rPh>
    <rPh sb="10" eb="12">
      <t>タンカ</t>
    </rPh>
    <rPh sb="28" eb="30">
      <t>トクゴウ</t>
    </rPh>
    <rPh sb="31" eb="32">
      <t>ヘイ</t>
    </rPh>
    <rPh sb="32" eb="34">
      <t>チホウ</t>
    </rPh>
    <rPh sb="34" eb="36">
      <t>タンカ</t>
    </rPh>
    <phoneticPr fontId="1"/>
  </si>
  <si>
    <t>日当（定額計上）</t>
    <phoneticPr fontId="1"/>
  </si>
  <si>
    <t>講師謝金</t>
    <rPh sb="0" eb="2">
      <t>コウシ</t>
    </rPh>
    <rPh sb="2" eb="4">
      <t>シャキン</t>
    </rPh>
    <phoneticPr fontId="1"/>
  </si>
  <si>
    <t>内国旅費等</t>
  </si>
  <si>
    <t>国内自宅⇔空港までの移動費。</t>
    <rPh sb="0" eb="2">
      <t>コクナイ</t>
    </rPh>
    <rPh sb="2" eb="4">
      <t>ジタク</t>
    </rPh>
    <rPh sb="5" eb="7">
      <t>クウコウ</t>
    </rPh>
    <rPh sb="10" eb="12">
      <t>イドウ</t>
    </rPh>
    <rPh sb="12" eb="13">
      <t>ヒ</t>
    </rPh>
    <phoneticPr fontId="1"/>
  </si>
  <si>
    <t>現地車両傭上費</t>
    <rPh sb="0" eb="2">
      <t>ゲンチ</t>
    </rPh>
    <rPh sb="4" eb="6">
      <t>ヨウジョウ</t>
    </rPh>
    <phoneticPr fontId="1"/>
  </si>
  <si>
    <t>総括/研修業務総括</t>
  </si>
  <si>
    <t>式</t>
    <rPh sb="0" eb="1">
      <t>シキ</t>
    </rPh>
    <phoneticPr fontId="1"/>
  </si>
  <si>
    <t>研修企画運営</t>
    <rPh sb="2" eb="4">
      <t>キカク</t>
    </rPh>
    <rPh sb="4" eb="6">
      <t>ウンエイ</t>
    </rPh>
    <phoneticPr fontId="1"/>
  </si>
  <si>
    <t>研修同行・事務</t>
    <rPh sb="2" eb="4">
      <t>ドウコウ</t>
    </rPh>
    <rPh sb="5" eb="7">
      <t>ジム</t>
    </rPh>
    <phoneticPr fontId="1"/>
  </si>
  <si>
    <t>*現地講義に係る会場・資機材の手配、講義資料の翻訳・印刷、講義時・意見交換時の通訳はJICAプロジェクトで手配、経費負担するため、本契約には含めない。</t>
    <rPh sb="1" eb="3">
      <t>ゲンチ</t>
    </rPh>
    <rPh sb="3" eb="5">
      <t>コウギ</t>
    </rPh>
    <rPh sb="6" eb="7">
      <t>カカ</t>
    </rPh>
    <rPh sb="8" eb="10">
      <t>カイジョウ</t>
    </rPh>
    <rPh sb="11" eb="14">
      <t>シキザイ</t>
    </rPh>
    <rPh sb="15" eb="17">
      <t>テハイ</t>
    </rPh>
    <rPh sb="18" eb="20">
      <t>コウギ</t>
    </rPh>
    <rPh sb="20" eb="22">
      <t>シリョウ</t>
    </rPh>
    <rPh sb="23" eb="25">
      <t>ホンヤク</t>
    </rPh>
    <rPh sb="26" eb="28">
      <t>インサツ</t>
    </rPh>
    <rPh sb="29" eb="31">
      <t>コウギ</t>
    </rPh>
    <rPh sb="31" eb="32">
      <t>ジ</t>
    </rPh>
    <rPh sb="33" eb="35">
      <t>イケン</t>
    </rPh>
    <rPh sb="35" eb="37">
      <t>コウカン</t>
    </rPh>
    <rPh sb="37" eb="38">
      <t>ジ</t>
    </rPh>
    <rPh sb="39" eb="41">
      <t>ツウヤク</t>
    </rPh>
    <rPh sb="53" eb="55">
      <t>テハイ</t>
    </rPh>
    <rPh sb="56" eb="58">
      <t>ケイヒ</t>
    </rPh>
    <rPh sb="58" eb="60">
      <t>フタン</t>
    </rPh>
    <rPh sb="65" eb="66">
      <t>ホン</t>
    </rPh>
    <rPh sb="66" eb="68">
      <t>ケイヤク</t>
    </rPh>
    <rPh sb="70" eb="71">
      <t>フク</t>
    </rPh>
    <phoneticPr fontId="1"/>
  </si>
  <si>
    <t>②訪日研修1回実施に係る経費積算表</t>
    <rPh sb="1" eb="3">
      <t>ホウニチ</t>
    </rPh>
    <rPh sb="3" eb="5">
      <t>ケンシュウ</t>
    </rPh>
    <rPh sb="6" eb="7">
      <t>カイ</t>
    </rPh>
    <rPh sb="7" eb="9">
      <t>ジッシ</t>
    </rPh>
    <rPh sb="10" eb="11">
      <t>カカ</t>
    </rPh>
    <rPh sb="12" eb="14">
      <t>ケイヒ</t>
    </rPh>
    <rPh sb="14" eb="16">
      <t>セキサン</t>
    </rPh>
    <rPh sb="16" eb="17">
      <t>ヒョウ</t>
    </rPh>
    <phoneticPr fontId="1"/>
  </si>
  <si>
    <t>※日曜IN、木曜OUT、計12日間。副大臣級15名、局長級5名、カウンターパート同行2名、JICA専門家1名。</t>
    <phoneticPr fontId="1"/>
  </si>
  <si>
    <t>内訳</t>
    <rPh sb="0" eb="2">
      <t>ウチワケ</t>
    </rPh>
    <phoneticPr fontId="1"/>
  </si>
  <si>
    <t>数量及び定額計上額に係る補足説明</t>
    <rPh sb="0" eb="2">
      <t>スウリョウ</t>
    </rPh>
    <rPh sb="2" eb="3">
      <t>オヨ</t>
    </rPh>
    <rPh sb="4" eb="6">
      <t>テイガク</t>
    </rPh>
    <rPh sb="6" eb="8">
      <t>ケイジョウ</t>
    </rPh>
    <rPh sb="8" eb="9">
      <t>ガク</t>
    </rPh>
    <rPh sb="10" eb="11">
      <t>カカ</t>
    </rPh>
    <rPh sb="12" eb="14">
      <t>ホソク</t>
    </rPh>
    <rPh sb="14" eb="16">
      <t>セツメイ</t>
    </rPh>
    <phoneticPr fontId="1"/>
  </si>
  <si>
    <t>受入経費</t>
    <rPh sb="0" eb="2">
      <t>ウケイレ</t>
    </rPh>
    <rPh sb="2" eb="4">
      <t>ケイヒ</t>
    </rPh>
    <phoneticPr fontId="1"/>
  </si>
  <si>
    <t>国際航空賃（研修員・副大臣級）（定額計上）</t>
    <rPh sb="0" eb="2">
      <t>コクサイ</t>
    </rPh>
    <rPh sb="2" eb="4">
      <t>コウクウ</t>
    </rPh>
    <rPh sb="4" eb="5">
      <t>チン</t>
    </rPh>
    <rPh sb="6" eb="9">
      <t>ケンシュウイン</t>
    </rPh>
    <rPh sb="10" eb="13">
      <t>フクダイジン</t>
    </rPh>
    <rPh sb="13" eb="14">
      <t>キュウ</t>
    </rPh>
    <rPh sb="16" eb="18">
      <t>テイガク</t>
    </rPh>
    <rPh sb="18" eb="20">
      <t>ケイジョウ</t>
    </rPh>
    <phoneticPr fontId="1"/>
  </si>
  <si>
    <t>人</t>
    <rPh sb="0" eb="1">
      <t>ニン</t>
    </rPh>
    <phoneticPr fontId="1"/>
  </si>
  <si>
    <t>ビジネスクラス。副大臣級15名来日想定。</t>
    <rPh sb="8" eb="11">
      <t>フクダイジン</t>
    </rPh>
    <rPh sb="11" eb="12">
      <t>キュウ</t>
    </rPh>
    <rPh sb="14" eb="15">
      <t>メイ</t>
    </rPh>
    <rPh sb="15" eb="17">
      <t>ライニチ</t>
    </rPh>
    <rPh sb="17" eb="19">
      <t>ソウテイ</t>
    </rPh>
    <phoneticPr fontId="1"/>
  </si>
  <si>
    <t>国際航空賃（研修員・局長級以下、カウンターパート同行者）（定額計上）</t>
    <rPh sb="0" eb="2">
      <t>コクサイ</t>
    </rPh>
    <rPh sb="2" eb="4">
      <t>コウクウ</t>
    </rPh>
    <rPh sb="4" eb="5">
      <t>チン</t>
    </rPh>
    <rPh sb="6" eb="9">
      <t>ケンシュウイン</t>
    </rPh>
    <rPh sb="10" eb="12">
      <t>キョクチョウ</t>
    </rPh>
    <rPh sb="12" eb="13">
      <t>キュウ</t>
    </rPh>
    <rPh sb="13" eb="15">
      <t>イカ</t>
    </rPh>
    <rPh sb="24" eb="26">
      <t>ドウコウ</t>
    </rPh>
    <rPh sb="26" eb="27">
      <t>シャ</t>
    </rPh>
    <phoneticPr fontId="1"/>
  </si>
  <si>
    <t>エコノミークラス、非課税。局長以下5名、CP同行者2名来日想定。</t>
    <rPh sb="9" eb="12">
      <t>ヒカゼイ</t>
    </rPh>
    <rPh sb="13" eb="15">
      <t>キョクチョウ</t>
    </rPh>
    <rPh sb="15" eb="17">
      <t>イカ</t>
    </rPh>
    <rPh sb="18" eb="19">
      <t>メイ</t>
    </rPh>
    <rPh sb="22" eb="25">
      <t>ドウコウシャ</t>
    </rPh>
    <rPh sb="26" eb="27">
      <t>メイ</t>
    </rPh>
    <rPh sb="27" eb="29">
      <t>ライニチ</t>
    </rPh>
    <rPh sb="29" eb="31">
      <t>ソウテイ</t>
    </rPh>
    <phoneticPr fontId="1"/>
  </si>
  <si>
    <t>研修参加者20名、カウンターパート同行者2名。</t>
    <rPh sb="0" eb="2">
      <t>ケンシュウ</t>
    </rPh>
    <rPh sb="2" eb="5">
      <t>サンカシャ</t>
    </rPh>
    <rPh sb="7" eb="8">
      <t>メイ</t>
    </rPh>
    <rPh sb="17" eb="20">
      <t>ドウコウシャ</t>
    </rPh>
    <rPh sb="21" eb="22">
      <t>メイ</t>
    </rPh>
    <phoneticPr fontId="1"/>
  </si>
  <si>
    <t>宿泊費（研修員・カウンターパート同行者）（定額計上）</t>
    <rPh sb="16" eb="18">
      <t>ドウコウ</t>
    </rPh>
    <rPh sb="18" eb="19">
      <t>シャ</t>
    </rPh>
    <phoneticPr fontId="1"/>
  </si>
  <si>
    <t>JICA指定単価、単価に実績数量を乗じて支払う。アーリーチェックイン含め12泊。研修員20名、CP同行者2名。うち、9泊都内、3泊地方を想定。</t>
    <rPh sb="4" eb="6">
      <t>シテイ</t>
    </rPh>
    <rPh sb="6" eb="8">
      <t>タンカ</t>
    </rPh>
    <rPh sb="9" eb="11">
      <t>タンカ</t>
    </rPh>
    <rPh sb="12" eb="14">
      <t>ジッセキ</t>
    </rPh>
    <rPh sb="14" eb="16">
      <t>スウリョウ</t>
    </rPh>
    <rPh sb="17" eb="18">
      <t>ジョウ</t>
    </rPh>
    <rPh sb="20" eb="22">
      <t>シハラ</t>
    </rPh>
    <rPh sb="34" eb="35">
      <t>フク</t>
    </rPh>
    <rPh sb="38" eb="39">
      <t>ハク</t>
    </rPh>
    <rPh sb="40" eb="43">
      <t>ケンシュウイン</t>
    </rPh>
    <rPh sb="45" eb="46">
      <t>メイ</t>
    </rPh>
    <rPh sb="49" eb="52">
      <t>ドウコウシャ</t>
    </rPh>
    <rPh sb="53" eb="54">
      <t>メイ</t>
    </rPh>
    <rPh sb="59" eb="60">
      <t>ハク</t>
    </rPh>
    <rPh sb="60" eb="62">
      <t>トナイ</t>
    </rPh>
    <rPh sb="64" eb="65">
      <t>ハク</t>
    </rPh>
    <rPh sb="65" eb="67">
      <t>チホウ</t>
    </rPh>
    <rPh sb="68" eb="70">
      <t>ソウテイ</t>
    </rPh>
    <phoneticPr fontId="1"/>
  </si>
  <si>
    <t>宿泊費（通訳2名、JICA専門家orプロジェクトスタッフ）（都内）（定額計上）</t>
    <rPh sb="13" eb="16">
      <t>センモンカ</t>
    </rPh>
    <rPh sb="30" eb="32">
      <t>トナイ</t>
    </rPh>
    <phoneticPr fontId="1"/>
  </si>
  <si>
    <t>現地より通訳2名及びJICA専門家またはプロジェクトスタッフが同行予定。研修員と同一ホテルへの宿泊を想定。JICA指定単価、単価に実績数量を乗じて支払う。</t>
    <rPh sb="0" eb="2">
      <t>ゲンチ</t>
    </rPh>
    <rPh sb="4" eb="6">
      <t>ツウヤク</t>
    </rPh>
    <rPh sb="7" eb="8">
      <t>メイ</t>
    </rPh>
    <rPh sb="8" eb="9">
      <t>オヨ</t>
    </rPh>
    <rPh sb="14" eb="17">
      <t>センモンカ</t>
    </rPh>
    <rPh sb="31" eb="33">
      <t>ドウコウ</t>
    </rPh>
    <rPh sb="33" eb="35">
      <t>ヨテイ</t>
    </rPh>
    <rPh sb="57" eb="59">
      <t>シテイ</t>
    </rPh>
    <rPh sb="59" eb="61">
      <t>タンカ</t>
    </rPh>
    <phoneticPr fontId="1"/>
  </si>
  <si>
    <t>宿泊費（通訳2名、JICA専門家orプロジェクトスタッフ）（地方）（定額計上）</t>
    <rPh sb="13" eb="16">
      <t>センモンカ</t>
    </rPh>
    <rPh sb="30" eb="32">
      <t>チホウ</t>
    </rPh>
    <phoneticPr fontId="1"/>
  </si>
  <si>
    <t>地方同行時。研修員と同一ホテルへの宿泊を想定。JICA指定単価、単価に実績数量を乗じて支払う。</t>
    <rPh sb="0" eb="2">
      <t>チホウ</t>
    </rPh>
    <rPh sb="2" eb="4">
      <t>ドウコウ</t>
    </rPh>
    <rPh sb="4" eb="5">
      <t>ジ</t>
    </rPh>
    <phoneticPr fontId="1"/>
  </si>
  <si>
    <t>宿泊費（業務従事者）（定額計上）</t>
    <rPh sb="4" eb="6">
      <t>ギョウム</t>
    </rPh>
    <rPh sb="6" eb="9">
      <t>ジュウジシャ</t>
    </rPh>
    <phoneticPr fontId="1"/>
  </si>
  <si>
    <t>食費（研修員・カウンターパート同行者）（定額計上）</t>
    <rPh sb="0" eb="2">
      <t>ショクヒ</t>
    </rPh>
    <rPh sb="3" eb="6">
      <t>ケンシュウイン</t>
    </rPh>
    <phoneticPr fontId="1"/>
  </si>
  <si>
    <t>JICA指定単価、単価に実績数量を乗じて支払う。昼食：5,000 円、夕食：7,500 円上限</t>
    <rPh sb="4" eb="6">
      <t>シテイ</t>
    </rPh>
    <rPh sb="6" eb="8">
      <t>タンカ</t>
    </rPh>
    <rPh sb="9" eb="11">
      <t>タンカ</t>
    </rPh>
    <rPh sb="12" eb="14">
      <t>ジッセキ</t>
    </rPh>
    <rPh sb="14" eb="16">
      <t>スウリョウ</t>
    </rPh>
    <rPh sb="17" eb="18">
      <t>ジョウ</t>
    </rPh>
    <rPh sb="20" eb="22">
      <t>シハラ</t>
    </rPh>
    <rPh sb="24" eb="26">
      <t>チュウショク</t>
    </rPh>
    <rPh sb="45" eb="47">
      <t>ジョウゲン</t>
    </rPh>
    <phoneticPr fontId="1"/>
  </si>
  <si>
    <t>食費（業務従事者）（定額計上）</t>
    <rPh sb="0" eb="2">
      <t>ショクヒ</t>
    </rPh>
    <phoneticPr fontId="1"/>
  </si>
  <si>
    <t>食費（通訳2名、JICA専門家orプロジェクトスタッフ）（定額計上）</t>
    <rPh sb="0" eb="2">
      <t>ショクヒ</t>
    </rPh>
    <phoneticPr fontId="1"/>
  </si>
  <si>
    <t>車両傭上費</t>
    <rPh sb="0" eb="2">
      <t>シャリョウ</t>
    </rPh>
    <rPh sb="2" eb="4">
      <t>ヨウジョウ</t>
    </rPh>
    <rPh sb="4" eb="5">
      <t>ヒ</t>
    </rPh>
    <phoneticPr fontId="1"/>
  </si>
  <si>
    <t>国内移動費</t>
    <rPh sb="0" eb="2">
      <t>コクナイ</t>
    </rPh>
    <rPh sb="2" eb="4">
      <t>イドウ</t>
    </rPh>
    <rPh sb="4" eb="5">
      <t>ヒ</t>
    </rPh>
    <phoneticPr fontId="1"/>
  </si>
  <si>
    <t>研修実施経費</t>
    <rPh sb="0" eb="2">
      <t>ケンシュウ</t>
    </rPh>
    <rPh sb="2" eb="4">
      <t>ジッシ</t>
    </rPh>
    <rPh sb="4" eb="6">
      <t>ケイヒ</t>
    </rPh>
    <phoneticPr fontId="1"/>
  </si>
  <si>
    <t>交通費・宿泊・旅費（講師）</t>
    <rPh sb="0" eb="2">
      <t>コウツウ</t>
    </rPh>
    <rPh sb="2" eb="3">
      <t>ヒ</t>
    </rPh>
    <rPh sb="4" eb="6">
      <t>シュクハク</t>
    </rPh>
    <rPh sb="7" eb="9">
      <t>リョヒ</t>
    </rPh>
    <rPh sb="9" eb="10">
      <t>ショヒ</t>
    </rPh>
    <rPh sb="10" eb="12">
      <t>コウシ</t>
    </rPh>
    <phoneticPr fontId="1"/>
  </si>
  <si>
    <t>(17)</t>
  </si>
  <si>
    <t>資料作成費（翻訳・校正）</t>
    <phoneticPr fontId="1"/>
  </si>
  <si>
    <t>資料作成費（印刷費）</t>
    <rPh sb="6" eb="8">
      <t>インサツ</t>
    </rPh>
    <rPh sb="8" eb="9">
      <t>ヒ</t>
    </rPh>
    <phoneticPr fontId="1"/>
  </si>
  <si>
    <t>リフレッシュメント・消耗品費等</t>
    <rPh sb="10" eb="12">
      <t>ショウモウ</t>
    </rPh>
    <rPh sb="12" eb="13">
      <t>ヒン</t>
    </rPh>
    <rPh sb="13" eb="14">
      <t>ヒ</t>
    </rPh>
    <rPh sb="14" eb="15">
      <t>ナド</t>
    </rPh>
    <phoneticPr fontId="1"/>
  </si>
  <si>
    <t>研修員20名、カウンターパート同行者2名。
研修実施中の飲料（コーヒー、ミネラルウォーター、茶菓等）。</t>
    <rPh sb="0" eb="3">
      <t>ケンシュウイン</t>
    </rPh>
    <rPh sb="5" eb="6">
      <t>メイ</t>
    </rPh>
    <rPh sb="15" eb="18">
      <t>ドウコウシャ</t>
    </rPh>
    <rPh sb="19" eb="20">
      <t>メイ</t>
    </rPh>
    <rPh sb="22" eb="24">
      <t>ケンシュウ</t>
    </rPh>
    <rPh sb="24" eb="26">
      <t>ジッシ</t>
    </rPh>
    <rPh sb="26" eb="27">
      <t>チュウ</t>
    </rPh>
    <rPh sb="28" eb="30">
      <t>インリョウ</t>
    </rPh>
    <rPh sb="46" eb="48">
      <t>サカ</t>
    </rPh>
    <rPh sb="48" eb="49">
      <t>ナド</t>
    </rPh>
    <phoneticPr fontId="1"/>
  </si>
  <si>
    <t>(22)</t>
  </si>
  <si>
    <t>パナガイド</t>
    <phoneticPr fontId="1"/>
  </si>
  <si>
    <t>研修員20名、カウンターパート同行者2名、通訳2名、JICA同行者1名、業務従事者2名、計27名。</t>
    <rPh sb="0" eb="3">
      <t>ケンシュウイン</t>
    </rPh>
    <rPh sb="5" eb="6">
      <t>メイ</t>
    </rPh>
    <rPh sb="15" eb="18">
      <t>ドウコウシャ</t>
    </rPh>
    <rPh sb="19" eb="20">
      <t>メイ</t>
    </rPh>
    <rPh sb="21" eb="23">
      <t>ツウヤク</t>
    </rPh>
    <rPh sb="24" eb="25">
      <t>メイ</t>
    </rPh>
    <rPh sb="30" eb="33">
      <t>ドウコウシャ</t>
    </rPh>
    <rPh sb="34" eb="35">
      <t>メイ</t>
    </rPh>
    <rPh sb="36" eb="38">
      <t>ギョウム</t>
    </rPh>
    <rPh sb="38" eb="41">
      <t>ジュウジシャ</t>
    </rPh>
    <rPh sb="42" eb="43">
      <t>メイ</t>
    </rPh>
    <rPh sb="44" eb="45">
      <t>ケイ</t>
    </rPh>
    <rPh sb="47" eb="48">
      <t>メイ</t>
    </rPh>
    <phoneticPr fontId="1"/>
  </si>
  <si>
    <t>(23)</t>
  </si>
  <si>
    <t>研修員20名、カウンターパート同行者2名、通訳2名、JICA専門家orプロジェクトスタッフ1名、業務従事者2名。</t>
    <rPh sb="0" eb="3">
      <t>ケンシュウイン</t>
    </rPh>
    <rPh sb="5" eb="6">
      <t>メイ</t>
    </rPh>
    <rPh sb="15" eb="18">
      <t>ドウコウシャ</t>
    </rPh>
    <rPh sb="19" eb="20">
      <t>メイ</t>
    </rPh>
    <rPh sb="21" eb="23">
      <t>ツウヤク</t>
    </rPh>
    <rPh sb="24" eb="25">
      <t>メイ</t>
    </rPh>
    <rPh sb="30" eb="33">
      <t>センモンカ</t>
    </rPh>
    <rPh sb="46" eb="47">
      <t>メイ</t>
    </rPh>
    <rPh sb="48" eb="50">
      <t>ギョウム</t>
    </rPh>
    <rPh sb="50" eb="53">
      <t>ジュウジシャ</t>
    </rPh>
    <rPh sb="54" eb="55">
      <t>メイ</t>
    </rPh>
    <phoneticPr fontId="1"/>
  </si>
  <si>
    <t>(24)</t>
  </si>
  <si>
    <t>レセプション</t>
  </si>
  <si>
    <t>都内1回、地方1回を想定。各回で研修参加者20名、受注者5名、講義協力機関関係者等10名、JICA内関係者10名の合計約45名の参加を予定。</t>
    <rPh sb="0" eb="2">
      <t>トナイ</t>
    </rPh>
    <rPh sb="3" eb="4">
      <t>カイ</t>
    </rPh>
    <rPh sb="5" eb="7">
      <t>チホウ</t>
    </rPh>
    <rPh sb="8" eb="9">
      <t>カイ</t>
    </rPh>
    <rPh sb="10" eb="12">
      <t>ソウテイ</t>
    </rPh>
    <rPh sb="59" eb="60">
      <t>ヤク</t>
    </rPh>
    <phoneticPr fontId="1"/>
  </si>
  <si>
    <t>単価</t>
    <rPh sb="0" eb="2">
      <t>タンカ</t>
    </rPh>
    <phoneticPr fontId="1"/>
  </si>
  <si>
    <t>研修同行・事務</t>
    <rPh sb="2" eb="4">
      <t>ドウコウ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</si>
</sst>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Red]\(#,##0.0\)"/>
    <numFmt numFmtId="178" formatCode="#,##0;&quot;▲ &quot;#,##0"/>
    <numFmt numFmtId="179" formatCode="#,##0.00_ "/>
    <numFmt numFmtId="180" formatCode="0_);[Red]\(0\)"/>
  </numFmts>
  <fonts count="28" x14ac:knownFonts="1">
    <font>
      <sz val="12"/>
      <color theme="1"/>
      <name val="ＭＳ ゴシック"/>
      <family val="3"/>
      <charset val="128"/>
    </font>
    <font>
      <sz val="6"/>
      <name val="ＭＳ ゴシック"/>
      <family val="3"/>
      <charset val="128"/>
    </font>
    <font>
      <sz val="12"/>
      <name val="ＭＳ ゴシック"/>
      <family val="3"/>
      <charset val="128"/>
    </font>
    <font>
      <b/>
      <sz val="12"/>
      <name val="ＭＳ ゴシック"/>
      <family val="3"/>
      <charset val="128"/>
    </font>
    <font>
      <sz val="10"/>
      <name val="ＭＳ ゴシック"/>
      <family val="3"/>
      <charset val="128"/>
    </font>
    <font>
      <b/>
      <sz val="10"/>
      <name val="ＭＳ ゴシック"/>
      <family val="3"/>
      <charset val="128"/>
    </font>
    <font>
      <sz val="12"/>
      <color theme="1"/>
      <name val="ＭＳ ゴシック"/>
      <family val="3"/>
      <charset val="128"/>
    </font>
    <font>
      <sz val="12"/>
      <color rgb="FFFF0000"/>
      <name val="ＭＳ ゴシック"/>
      <family val="3"/>
      <charset val="128"/>
    </font>
    <font>
      <sz val="10"/>
      <color theme="1"/>
      <name val="ＭＳ ゴシック"/>
      <family val="3"/>
      <charset val="128"/>
    </font>
    <font>
      <u/>
      <sz val="12"/>
      <color theme="1"/>
      <name val="ＭＳ ゴシック"/>
      <family val="3"/>
      <charset val="128"/>
    </font>
    <font>
      <sz val="14"/>
      <color theme="1"/>
      <name val="ＭＳ ゴシック"/>
      <family val="3"/>
      <charset val="128"/>
    </font>
    <font>
      <sz val="20"/>
      <color theme="1"/>
      <name val="ＭＳ ゴシック"/>
      <family val="3"/>
      <charset val="128"/>
    </font>
    <font>
      <b/>
      <sz val="9"/>
      <color rgb="FFFF0000"/>
      <name val="ＭＳ ゴシック"/>
      <family val="3"/>
      <charset val="128"/>
    </font>
    <font>
      <sz val="12"/>
      <color rgb="FF000000"/>
      <name val="Yu Gothic UI Semibold"/>
      <family val="3"/>
      <charset val="128"/>
    </font>
    <font>
      <sz val="12"/>
      <color rgb="FF000000"/>
      <name val="ＭＳ ゴシック"/>
      <family val="3"/>
      <charset val="128"/>
    </font>
    <font>
      <u/>
      <sz val="12"/>
      <color theme="10"/>
      <name val="ＭＳ ゴシック"/>
      <family val="3"/>
      <charset val="128"/>
    </font>
    <font>
      <sz val="11"/>
      <name val="Meiryo UI"/>
      <family val="3"/>
      <charset val="128"/>
    </font>
    <font>
      <b/>
      <sz val="12"/>
      <color rgb="FF000000"/>
      <name val="ＭＳ ゴシック"/>
      <family val="3"/>
      <charset val="128"/>
    </font>
    <font>
      <sz val="10"/>
      <name val="Meiryo UI"/>
      <family val="3"/>
      <charset val="128"/>
    </font>
    <font>
      <b/>
      <sz val="12"/>
      <color theme="1"/>
      <name val="ＭＳ ゴシック"/>
      <family val="3"/>
      <charset val="128"/>
    </font>
    <font>
      <b/>
      <sz val="11"/>
      <name val="ＭＳ ゴシック"/>
      <family val="3"/>
      <charset val="128"/>
    </font>
    <font>
      <sz val="11"/>
      <color theme="1"/>
      <name val="ＭＳ Ｐゴシック"/>
      <family val="2"/>
      <scheme val="minor"/>
    </font>
    <font>
      <b/>
      <sz val="10"/>
      <name val="Meiryo UI"/>
      <family val="3"/>
      <charset val="128"/>
    </font>
    <font>
      <sz val="6"/>
      <name val="ＭＳ Ｐゴシック"/>
      <family val="3"/>
      <charset val="128"/>
      <scheme val="minor"/>
    </font>
    <font>
      <b/>
      <sz val="11"/>
      <name val="Meiryo UI"/>
      <family val="3"/>
      <charset val="128"/>
    </font>
    <font>
      <b/>
      <sz val="12"/>
      <name val="Meiryo UI"/>
      <family val="3"/>
      <charset val="128"/>
    </font>
    <font>
      <sz val="10"/>
      <color theme="0"/>
      <name val="Meiryo UI"/>
      <family val="3"/>
      <charset val="128"/>
    </font>
    <font>
      <b/>
      <sz val="11"/>
      <color theme="0"/>
      <name val="Meiryo UI"/>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rgb="FF5B9BD5"/>
        <bgColor rgb="FF000000"/>
      </patternFill>
    </fill>
    <fill>
      <patternFill patternType="solid">
        <fgColor rgb="FFFFFFFF"/>
        <bgColor rgb="FF000000"/>
      </patternFill>
    </fill>
    <fill>
      <patternFill patternType="solid">
        <fgColor rgb="FFBDD7EE"/>
        <bgColor rgb="FF000000"/>
      </patternFill>
    </fill>
    <fill>
      <patternFill patternType="solid">
        <fgColor theme="1"/>
        <bgColor indexed="6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top style="thin">
        <color indexed="64"/>
      </top>
      <bottom style="thin">
        <color rgb="FF000000"/>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s>
  <cellStyleXfs count="6">
    <xf numFmtId="0" fontId="0" fillId="0" borderId="0">
      <alignment vertical="center"/>
    </xf>
    <xf numFmtId="38" fontId="6" fillId="0" borderId="0" applyFon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xf numFmtId="38" fontId="21" fillId="0" borderId="0" applyFont="0" applyFill="0" applyBorder="0" applyAlignment="0" applyProtection="0">
      <alignment vertical="center"/>
    </xf>
  </cellStyleXfs>
  <cellXfs count="241">
    <xf numFmtId="0" fontId="0" fillId="0" borderId="0" xfId="0">
      <alignment vertical="center"/>
    </xf>
    <xf numFmtId="0" fontId="9" fillId="0" borderId="0" xfId="0" applyFont="1">
      <alignment vertical="center"/>
    </xf>
    <xf numFmtId="0" fontId="0" fillId="0" borderId="1" xfId="0" applyBorder="1">
      <alignment vertical="center"/>
    </xf>
    <xf numFmtId="38" fontId="9" fillId="0" borderId="0" xfId="1" applyFont="1" applyAlignment="1">
      <alignment vertical="center"/>
    </xf>
    <xf numFmtId="38" fontId="6" fillId="0" borderId="1" xfId="1" applyFont="1" applyBorder="1">
      <alignment vertical="center"/>
    </xf>
    <xf numFmtId="38" fontId="6" fillId="0" borderId="0" xfId="1" applyFont="1">
      <alignment vertical="center"/>
    </xf>
    <xf numFmtId="38" fontId="9" fillId="0" borderId="0" xfId="0" applyNumberFormat="1" applyFont="1">
      <alignment vertical="center"/>
    </xf>
    <xf numFmtId="0" fontId="0" fillId="2" borderId="1" xfId="0" applyFill="1" applyBorder="1" applyAlignment="1">
      <alignment horizontal="center" vertical="center"/>
    </xf>
    <xf numFmtId="0" fontId="9" fillId="3" borderId="0" xfId="0" applyFont="1" applyFill="1">
      <alignment vertical="center"/>
    </xf>
    <xf numFmtId="38" fontId="9" fillId="3" borderId="0" xfId="1" applyFont="1" applyFill="1" applyAlignment="1">
      <alignment vertical="center"/>
    </xf>
    <xf numFmtId="38" fontId="9" fillId="3" borderId="0" xfId="0" applyNumberFormat="1" applyFont="1" applyFill="1">
      <alignment vertical="center"/>
    </xf>
    <xf numFmtId="0" fontId="0" fillId="3" borderId="0" xfId="0" applyFill="1">
      <alignment vertical="center"/>
    </xf>
    <xf numFmtId="0" fontId="0" fillId="0" borderId="1" xfId="0" applyBorder="1" applyAlignment="1">
      <alignment horizontal="left" vertical="center"/>
    </xf>
    <xf numFmtId="0" fontId="0" fillId="0" borderId="0" xfId="0" applyAlignment="1">
      <alignment vertical="center" wrapText="1"/>
    </xf>
    <xf numFmtId="38" fontId="6" fillId="0" borderId="1" xfId="1" applyFont="1" applyBorder="1" applyAlignment="1">
      <alignment horizontal="left" vertical="center"/>
    </xf>
    <xf numFmtId="0" fontId="0" fillId="0" borderId="1" xfId="0" applyBorder="1" applyAlignment="1">
      <alignment horizontal="left" vertical="top" wrapText="1"/>
    </xf>
    <xf numFmtId="0" fontId="0" fillId="0" borderId="1" xfId="0" applyBorder="1" applyAlignment="1">
      <alignment horizontal="left" vertical="center" wrapText="1"/>
    </xf>
    <xf numFmtId="0" fontId="10" fillId="0" borderId="0" xfId="0" applyFont="1" applyAlignment="1">
      <alignment horizontal="center" vertical="center"/>
    </xf>
    <xf numFmtId="0" fontId="0" fillId="0" borderId="0" xfId="0" applyAlignment="1">
      <alignment horizontal="left" vertical="center"/>
    </xf>
    <xf numFmtId="38" fontId="0" fillId="0" borderId="1" xfId="0" applyNumberForma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38" fontId="0" fillId="0" borderId="2" xfId="0" applyNumberFormat="1" applyBorder="1" applyAlignment="1">
      <alignment horizontal="left" vertical="center"/>
    </xf>
    <xf numFmtId="0" fontId="11" fillId="0" borderId="0" xfId="0" applyFont="1">
      <alignment vertical="center"/>
    </xf>
    <xf numFmtId="0" fontId="0" fillId="0" borderId="0" xfId="0" applyAlignment="1">
      <alignment horizontal="center" vertical="center"/>
    </xf>
    <xf numFmtId="0" fontId="0" fillId="4" borderId="1" xfId="0" applyFill="1" applyBorder="1" applyAlignment="1">
      <alignment horizontal="center" vertical="center"/>
    </xf>
    <xf numFmtId="0" fontId="0" fillId="5" borderId="0" xfId="0" applyFill="1" applyAlignment="1">
      <alignment horizontal="center" vertical="center"/>
    </xf>
    <xf numFmtId="177" fontId="2" fillId="0" borderId="0" xfId="0" applyNumberFormat="1" applyFont="1">
      <alignment vertical="center"/>
    </xf>
    <xf numFmtId="178" fontId="0" fillId="0" borderId="0" xfId="0" applyNumberFormat="1">
      <alignment vertical="center"/>
    </xf>
    <xf numFmtId="177" fontId="0" fillId="0" borderId="0" xfId="0" applyNumberFormat="1" applyAlignment="1">
      <alignment horizontal="center" vertical="center"/>
    </xf>
    <xf numFmtId="178" fontId="0" fillId="0" borderId="0" xfId="0" applyNumberFormat="1" applyAlignment="1">
      <alignment horizontal="center" vertical="center"/>
    </xf>
    <xf numFmtId="9" fontId="0" fillId="0" borderId="0" xfId="0" applyNumberFormat="1" applyAlignment="1">
      <alignment horizontal="center" vertical="center"/>
    </xf>
    <xf numFmtId="14" fontId="0" fillId="0" borderId="0" xfId="0" applyNumberFormat="1">
      <alignment vertical="center"/>
    </xf>
    <xf numFmtId="0" fontId="7" fillId="0" borderId="0" xfId="0" applyFont="1">
      <alignment vertical="center"/>
    </xf>
    <xf numFmtId="178" fontId="3" fillId="6" borderId="4" xfId="0" applyNumberFormat="1" applyFont="1" applyFill="1" applyBorder="1">
      <alignment vertical="center"/>
    </xf>
    <xf numFmtId="9" fontId="3" fillId="6" borderId="1" xfId="0" applyNumberFormat="1" applyFont="1" applyFill="1" applyBorder="1">
      <alignment vertical="center"/>
    </xf>
    <xf numFmtId="0" fontId="2" fillId="4" borderId="1" xfId="0" applyFont="1" applyFill="1" applyBorder="1">
      <alignment vertical="center"/>
    </xf>
    <xf numFmtId="0" fontId="2" fillId="4" borderId="1" xfId="0" applyFont="1" applyFill="1" applyBorder="1" applyAlignment="1">
      <alignment horizontal="center" vertical="center"/>
    </xf>
    <xf numFmtId="176" fontId="2" fillId="4" borderId="5" xfId="0" applyNumberFormat="1" applyFont="1" applyFill="1" applyBorder="1">
      <alignment vertical="center"/>
    </xf>
    <xf numFmtId="0" fontId="2" fillId="4" borderId="6" xfId="0" applyFont="1" applyFill="1" applyBorder="1" applyAlignment="1">
      <alignment horizontal="center" vertical="center"/>
    </xf>
    <xf numFmtId="177" fontId="2" fillId="4" borderId="7" xfId="0" applyNumberFormat="1" applyFont="1" applyFill="1" applyBorder="1" applyAlignment="1">
      <alignment horizontal="center" vertical="center"/>
    </xf>
    <xf numFmtId="176" fontId="2" fillId="4" borderId="7" xfId="0" applyNumberFormat="1" applyFont="1" applyFill="1" applyBorder="1" applyAlignment="1">
      <alignment horizontal="center" vertical="center"/>
    </xf>
    <xf numFmtId="176" fontId="3" fillId="4" borderId="8" xfId="0" applyNumberFormat="1" applyFont="1" applyFill="1" applyBorder="1">
      <alignment vertical="center"/>
    </xf>
    <xf numFmtId="176" fontId="3" fillId="4" borderId="7" xfId="0" applyNumberFormat="1" applyFont="1" applyFill="1" applyBorder="1">
      <alignment vertical="center"/>
    </xf>
    <xf numFmtId="178" fontId="3" fillId="4" borderId="8" xfId="0" applyNumberFormat="1" applyFont="1" applyFill="1" applyBorder="1">
      <alignment vertical="center"/>
    </xf>
    <xf numFmtId="9" fontId="3" fillId="4" borderId="9" xfId="0" applyNumberFormat="1" applyFont="1" applyFill="1" applyBorder="1">
      <alignment vertical="center"/>
    </xf>
    <xf numFmtId="49" fontId="2" fillId="0" borderId="1" xfId="0" applyNumberFormat="1" applyFont="1" applyBorder="1" applyAlignment="1">
      <alignment horizontal="center" vertical="center" wrapText="1"/>
    </xf>
    <xf numFmtId="176" fontId="2" fillId="0" borderId="5" xfId="0" applyNumberFormat="1" applyFont="1" applyBorder="1">
      <alignment vertical="center"/>
    </xf>
    <xf numFmtId="176" fontId="2" fillId="3" borderId="10" xfId="0" applyNumberFormat="1" applyFont="1" applyFill="1" applyBorder="1">
      <alignment vertical="center"/>
    </xf>
    <xf numFmtId="176" fontId="2" fillId="0" borderId="1" xfId="0" applyNumberFormat="1" applyFont="1" applyBorder="1">
      <alignment vertical="center"/>
    </xf>
    <xf numFmtId="176" fontId="2" fillId="3" borderId="11" xfId="0" applyNumberFormat="1" applyFont="1" applyFill="1" applyBorder="1">
      <alignment vertical="center"/>
    </xf>
    <xf numFmtId="176" fontId="2" fillId="3" borderId="1" xfId="0" applyNumberFormat="1" applyFont="1" applyFill="1" applyBorder="1">
      <alignment vertical="center"/>
    </xf>
    <xf numFmtId="178" fontId="2" fillId="6" borderId="11" xfId="0" applyNumberFormat="1" applyFont="1" applyFill="1" applyBorder="1">
      <alignment vertical="center"/>
    </xf>
    <xf numFmtId="9" fontId="2" fillId="6" borderId="9" xfId="0" applyNumberFormat="1" applyFont="1" applyFill="1" applyBorder="1">
      <alignment vertical="center"/>
    </xf>
    <xf numFmtId="38" fontId="2" fillId="0" borderId="1" xfId="0" applyNumberFormat="1" applyFont="1" applyBorder="1" applyAlignment="1">
      <alignment horizontal="left" vertical="center" wrapText="1"/>
    </xf>
    <xf numFmtId="176" fontId="7" fillId="3" borderId="10" xfId="0" applyNumberFormat="1" applyFont="1" applyFill="1" applyBorder="1">
      <alignment vertical="center"/>
    </xf>
    <xf numFmtId="0" fontId="2" fillId="0" borderId="1" xfId="0" applyFont="1" applyBorder="1" applyAlignment="1">
      <alignment horizontal="left" vertical="center" wrapText="1"/>
    </xf>
    <xf numFmtId="177" fontId="2" fillId="4" borderId="1" xfId="0" applyNumberFormat="1" applyFont="1" applyFill="1" applyBorder="1" applyAlignment="1">
      <alignment horizontal="center" vertical="center"/>
    </xf>
    <xf numFmtId="176" fontId="3" fillId="4" borderId="11" xfId="0" applyNumberFormat="1" applyFont="1" applyFill="1" applyBorder="1">
      <alignment vertical="center"/>
    </xf>
    <xf numFmtId="176" fontId="3" fillId="4" borderId="1" xfId="0" applyNumberFormat="1" applyFont="1" applyFill="1" applyBorder="1">
      <alignment vertical="center"/>
    </xf>
    <xf numFmtId="178" fontId="3" fillId="4" borderId="11" xfId="0" applyNumberFormat="1" applyFont="1" applyFill="1" applyBorder="1">
      <alignment vertical="center"/>
    </xf>
    <xf numFmtId="38" fontId="2" fillId="4" borderId="10" xfId="0" applyNumberFormat="1" applyFont="1" applyFill="1" applyBorder="1">
      <alignment vertical="center"/>
    </xf>
    <xf numFmtId="176" fontId="2" fillId="4" borderId="1" xfId="0" applyNumberFormat="1" applyFont="1" applyFill="1" applyBorder="1">
      <alignment vertical="center"/>
    </xf>
    <xf numFmtId="0" fontId="4" fillId="0" borderId="1" xfId="0" applyFont="1" applyBorder="1" applyAlignment="1">
      <alignment horizontal="left" vertical="center" wrapText="1"/>
    </xf>
    <xf numFmtId="0" fontId="2" fillId="4" borderId="1" xfId="0" applyFont="1" applyFill="1" applyBorder="1" applyAlignment="1">
      <alignment vertical="center" wrapText="1"/>
    </xf>
    <xf numFmtId="0" fontId="2" fillId="4" borderId="1" xfId="0" applyFont="1" applyFill="1" applyBorder="1" applyAlignment="1">
      <alignment horizontal="center" vertical="center" wrapText="1"/>
    </xf>
    <xf numFmtId="179" fontId="2" fillId="4" borderId="1" xfId="0" applyNumberFormat="1" applyFont="1" applyFill="1" applyBorder="1">
      <alignment vertical="center"/>
    </xf>
    <xf numFmtId="179" fontId="2" fillId="0" borderId="1" xfId="0" applyNumberFormat="1" applyFont="1" applyBorder="1">
      <alignment vertical="center"/>
    </xf>
    <xf numFmtId="176" fontId="2" fillId="0" borderId="1" xfId="0" applyNumberFormat="1" applyFont="1" applyBorder="1" applyAlignment="1">
      <alignment vertical="center" wrapText="1"/>
    </xf>
    <xf numFmtId="49" fontId="2" fillId="4" borderId="1" xfId="0" applyNumberFormat="1" applyFont="1" applyFill="1" applyBorder="1" applyAlignment="1">
      <alignment horizontal="center" vertical="center" wrapText="1"/>
    </xf>
    <xf numFmtId="176" fontId="3" fillId="4" borderId="10" xfId="0" applyNumberFormat="1" applyFont="1" applyFill="1" applyBorder="1">
      <alignment vertical="center"/>
    </xf>
    <xf numFmtId="0" fontId="2" fillId="0" borderId="1" xfId="0" applyFont="1" applyBorder="1" applyAlignment="1">
      <alignment vertical="center" wrapText="1"/>
    </xf>
    <xf numFmtId="176" fontId="7" fillId="4" borderId="5" xfId="0" applyNumberFormat="1" applyFont="1" applyFill="1" applyBorder="1">
      <alignment vertical="center"/>
    </xf>
    <xf numFmtId="176" fontId="3" fillId="4" borderId="12" xfId="0" applyNumberFormat="1" applyFont="1" applyFill="1" applyBorder="1">
      <alignment vertical="center"/>
    </xf>
    <xf numFmtId="176" fontId="3" fillId="4" borderId="13" xfId="0" applyNumberFormat="1" applyFont="1" applyFill="1" applyBorder="1">
      <alignment vertical="center"/>
    </xf>
    <xf numFmtId="176" fontId="3" fillId="4" borderId="14" xfId="0" applyNumberFormat="1" applyFont="1" applyFill="1" applyBorder="1">
      <alignment vertical="center"/>
    </xf>
    <xf numFmtId="176" fontId="3" fillId="4" borderId="15" xfId="0" applyNumberFormat="1" applyFont="1" applyFill="1" applyBorder="1">
      <alignment vertical="center"/>
    </xf>
    <xf numFmtId="178" fontId="3" fillId="4" borderId="16" xfId="0" applyNumberFormat="1" applyFont="1" applyFill="1" applyBorder="1">
      <alignment vertical="center"/>
    </xf>
    <xf numFmtId="176" fontId="5" fillId="4" borderId="5" xfId="0" applyNumberFormat="1" applyFont="1" applyFill="1" applyBorder="1" applyAlignment="1">
      <alignment horizontal="left" vertical="center" wrapText="1"/>
    </xf>
    <xf numFmtId="9" fontId="0" fillId="0" borderId="0" xfId="0" applyNumberFormat="1">
      <alignment vertical="center"/>
    </xf>
    <xf numFmtId="178" fontId="2" fillId="0" borderId="0" xfId="0" applyNumberFormat="1" applyFont="1">
      <alignment vertical="center"/>
    </xf>
    <xf numFmtId="38" fontId="2" fillId="0" borderId="0" xfId="0" applyNumberFormat="1" applyFont="1">
      <alignment vertical="center"/>
    </xf>
    <xf numFmtId="9" fontId="2" fillId="0" borderId="0" xfId="0" applyNumberFormat="1" applyFont="1">
      <alignment vertical="center"/>
    </xf>
    <xf numFmtId="38" fontId="12" fillId="0" borderId="0" xfId="0" applyNumberFormat="1" applyFont="1" applyAlignment="1">
      <alignment horizontal="center" vertical="center"/>
    </xf>
    <xf numFmtId="178" fontId="12" fillId="0" borderId="0" xfId="0" applyNumberFormat="1" applyFont="1" applyAlignment="1">
      <alignment horizontal="center" vertical="center"/>
    </xf>
    <xf numFmtId="9" fontId="12" fillId="0" borderId="0" xfId="0" applyNumberFormat="1" applyFont="1" applyAlignment="1">
      <alignment horizontal="center" vertical="center"/>
    </xf>
    <xf numFmtId="38" fontId="0" fillId="0" borderId="0" xfId="0" applyNumberFormat="1" applyAlignment="1">
      <alignment horizontal="center" vertical="center"/>
    </xf>
    <xf numFmtId="177" fontId="0" fillId="5" borderId="0" xfId="0" applyNumberFormat="1" applyFill="1" applyAlignment="1">
      <alignment horizontal="center" vertical="center"/>
    </xf>
    <xf numFmtId="176" fontId="0" fillId="4" borderId="1" xfId="0" applyNumberFormat="1" applyFill="1" applyBorder="1">
      <alignment vertical="center"/>
    </xf>
    <xf numFmtId="38" fontId="6" fillId="0" borderId="3" xfId="1" applyFont="1" applyBorder="1" applyAlignment="1">
      <alignment horizontal="left" vertical="center"/>
    </xf>
    <xf numFmtId="38" fontId="7" fillId="0" borderId="0" xfId="1" applyFont="1">
      <alignment vertical="center"/>
    </xf>
    <xf numFmtId="38" fontId="2" fillId="4" borderId="6" xfId="1" applyFont="1" applyFill="1" applyBorder="1" applyAlignment="1">
      <alignment horizontal="center" vertical="center"/>
    </xf>
    <xf numFmtId="38" fontId="2" fillId="3" borderId="10" xfId="1" applyFont="1" applyFill="1" applyBorder="1">
      <alignment vertical="center"/>
    </xf>
    <xf numFmtId="38" fontId="7" fillId="3" borderId="10" xfId="1" applyFont="1" applyFill="1" applyBorder="1">
      <alignment vertical="center"/>
    </xf>
    <xf numFmtId="38" fontId="2" fillId="4" borderId="10" xfId="1" applyFont="1" applyFill="1" applyBorder="1">
      <alignment vertical="center"/>
    </xf>
    <xf numFmtId="38" fontId="3" fillId="4" borderId="10" xfId="1" applyFont="1" applyFill="1" applyBorder="1">
      <alignment vertical="center"/>
    </xf>
    <xf numFmtId="38" fontId="3" fillId="4" borderId="17" xfId="1" applyFont="1" applyFill="1" applyBorder="1">
      <alignment vertical="center"/>
    </xf>
    <xf numFmtId="38" fontId="0" fillId="0" borderId="0" xfId="0" applyNumberFormat="1" applyAlignment="1">
      <alignment horizontal="left" vertical="center"/>
    </xf>
    <xf numFmtId="0" fontId="13" fillId="0" borderId="0" xfId="0" applyFont="1">
      <alignment vertical="center"/>
    </xf>
    <xf numFmtId="0" fontId="13" fillId="0" borderId="0" xfId="0" applyFont="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lignment vertical="center"/>
    </xf>
    <xf numFmtId="0" fontId="13" fillId="7" borderId="8" xfId="0" applyFont="1" applyFill="1" applyBorder="1">
      <alignment vertical="center"/>
    </xf>
    <xf numFmtId="0" fontId="13" fillId="8" borderId="22" xfId="0" applyFont="1" applyFill="1" applyBorder="1" applyAlignment="1">
      <alignment vertical="center" wrapText="1"/>
    </xf>
    <xf numFmtId="0" fontId="13" fillId="8" borderId="21" xfId="0" applyFont="1" applyFill="1" applyBorder="1" applyAlignment="1">
      <alignment vertical="center" wrapText="1"/>
    </xf>
    <xf numFmtId="0" fontId="13" fillId="9" borderId="10" xfId="0" applyFont="1" applyFill="1" applyBorder="1" applyAlignment="1">
      <alignment horizontal="left" vertical="center"/>
    </xf>
    <xf numFmtId="0" fontId="13" fillId="9" borderId="1" xfId="0" applyFont="1" applyFill="1" applyBorder="1">
      <alignment vertical="center"/>
    </xf>
    <xf numFmtId="0" fontId="13" fillId="9" borderId="11" xfId="0" applyFont="1" applyFill="1" applyBorder="1">
      <alignment vertical="center"/>
    </xf>
    <xf numFmtId="0" fontId="13" fillId="0" borderId="10" xfId="0" applyFont="1" applyBorder="1" applyAlignment="1">
      <alignment horizontal="left" vertical="center"/>
    </xf>
    <xf numFmtId="0" fontId="13" fillId="0" borderId="1" xfId="0" applyFont="1" applyBorder="1">
      <alignment vertical="center"/>
    </xf>
    <xf numFmtId="0" fontId="13" fillId="0" borderId="11" xfId="0" applyFont="1" applyBorder="1">
      <alignment vertical="center"/>
    </xf>
    <xf numFmtId="0" fontId="13" fillId="9" borderId="12" xfId="0" applyFont="1" applyFill="1" applyBorder="1" applyAlignment="1">
      <alignment horizontal="left" vertical="center"/>
    </xf>
    <xf numFmtId="0" fontId="13" fillId="9" borderId="13" xfId="0" applyFont="1" applyFill="1" applyBorder="1">
      <alignment vertical="center"/>
    </xf>
    <xf numFmtId="0" fontId="13" fillId="9" borderId="16" xfId="0" applyFont="1" applyFill="1" applyBorder="1">
      <alignment vertical="center"/>
    </xf>
    <xf numFmtId="176" fontId="2" fillId="4" borderId="5" xfId="0" applyNumberFormat="1" applyFont="1" applyFill="1" applyBorder="1" applyAlignment="1">
      <alignment vertical="center" wrapText="1"/>
    </xf>
    <xf numFmtId="176" fontId="2" fillId="0" borderId="5" xfId="0" applyNumberFormat="1" applyFont="1" applyBorder="1" applyAlignment="1">
      <alignment vertical="center" wrapText="1"/>
    </xf>
    <xf numFmtId="0" fontId="2" fillId="0" borderId="4" xfId="0" applyFont="1" applyBorder="1" applyAlignment="1">
      <alignment vertical="center" wrapText="1"/>
    </xf>
    <xf numFmtId="176" fontId="2" fillId="0" borderId="26" xfId="0" applyNumberFormat="1" applyFont="1" applyBorder="1" applyAlignment="1">
      <alignment vertical="center" wrapText="1"/>
    </xf>
    <xf numFmtId="0" fontId="2" fillId="0" borderId="19" xfId="0" applyFont="1" applyBorder="1" applyAlignment="1">
      <alignment vertical="center" wrapText="1"/>
    </xf>
    <xf numFmtId="0" fontId="2" fillId="0" borderId="2" xfId="0" applyFont="1" applyBorder="1" applyAlignment="1">
      <alignment horizontal="center" vertical="center" wrapText="1"/>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176" fontId="2" fillId="4" borderId="1" xfId="0" applyNumberFormat="1" applyFont="1" applyFill="1" applyBorder="1" applyAlignment="1">
      <alignment horizontal="center" vertical="center"/>
    </xf>
    <xf numFmtId="38" fontId="14" fillId="0" borderId="1" xfId="0" applyNumberFormat="1" applyFont="1" applyBorder="1" applyAlignment="1">
      <alignment horizontal="left" vertical="center" wrapText="1"/>
    </xf>
    <xf numFmtId="0" fontId="2" fillId="0" borderId="19" xfId="0" applyFont="1" applyBorder="1" applyAlignment="1">
      <alignment horizontal="center" vertical="center" wrapText="1"/>
    </xf>
    <xf numFmtId="38" fontId="6" fillId="0" borderId="0" xfId="1" applyFont="1" applyAlignment="1">
      <alignment horizontal="center" vertical="center"/>
    </xf>
    <xf numFmtId="38" fontId="2" fillId="4" borderId="9" xfId="1" applyFont="1" applyFill="1" applyBorder="1" applyAlignment="1">
      <alignment horizontal="center" vertical="center"/>
    </xf>
    <xf numFmtId="180" fontId="6" fillId="0" borderId="0" xfId="1" applyNumberFormat="1" applyFont="1">
      <alignment vertical="center"/>
    </xf>
    <xf numFmtId="180" fontId="0" fillId="5" borderId="0" xfId="0" applyNumberFormat="1" applyFill="1" applyAlignment="1">
      <alignment horizontal="right" vertical="center"/>
    </xf>
    <xf numFmtId="180" fontId="2" fillId="0" borderId="1" xfId="0" applyNumberFormat="1" applyFont="1" applyBorder="1" applyAlignment="1">
      <alignment horizontal="right" vertical="center"/>
    </xf>
    <xf numFmtId="180" fontId="0" fillId="0" borderId="0" xfId="0" applyNumberFormat="1" applyAlignment="1">
      <alignment horizontal="right" vertical="center"/>
    </xf>
    <xf numFmtId="0" fontId="15" fillId="0" borderId="0" xfId="3">
      <alignment vertical="center"/>
    </xf>
    <xf numFmtId="180" fontId="14" fillId="0" borderId="1" xfId="0" applyNumberFormat="1" applyFont="1" applyBorder="1" applyAlignment="1">
      <alignment horizontal="right" vertical="center"/>
    </xf>
    <xf numFmtId="176" fontId="14" fillId="0" borderId="1" xfId="0" applyNumberFormat="1" applyFont="1" applyBorder="1" applyAlignment="1">
      <alignment horizontal="center" vertical="center"/>
    </xf>
    <xf numFmtId="180" fontId="14" fillId="0" borderId="9" xfId="1" applyNumberFormat="1" applyFont="1" applyFill="1" applyBorder="1">
      <alignment vertical="center"/>
    </xf>
    <xf numFmtId="38" fontId="14" fillId="0" borderId="9" xfId="1" applyFont="1" applyFill="1" applyBorder="1" applyAlignment="1">
      <alignment horizontal="center" vertical="center"/>
    </xf>
    <xf numFmtId="180" fontId="2" fillId="0" borderId="9" xfId="1" applyNumberFormat="1" applyFont="1" applyFill="1" applyBorder="1">
      <alignment vertical="center"/>
    </xf>
    <xf numFmtId="38" fontId="2" fillId="0" borderId="9" xfId="1" applyFont="1" applyFill="1" applyBorder="1" applyAlignment="1">
      <alignment horizontal="center" vertical="center"/>
    </xf>
    <xf numFmtId="38" fontId="2" fillId="0" borderId="1" xfId="3" applyNumberFormat="1" applyFont="1" applyBorder="1" applyAlignment="1">
      <alignment horizontal="left" vertical="center" wrapText="1"/>
    </xf>
    <xf numFmtId="38" fontId="14" fillId="0" borderId="9" xfId="1" applyFont="1" applyFill="1" applyBorder="1">
      <alignment vertical="center"/>
    </xf>
    <xf numFmtId="180" fontId="19" fillId="0" borderId="0" xfId="0" applyNumberFormat="1" applyFont="1" applyAlignment="1">
      <alignment horizontal="right" vertical="center"/>
    </xf>
    <xf numFmtId="0" fontId="20" fillId="0" borderId="0" xfId="0" applyFont="1" applyAlignment="1">
      <alignment horizontal="right" vertical="center"/>
    </xf>
    <xf numFmtId="176" fontId="19" fillId="0" borderId="0" xfId="0" applyNumberFormat="1" applyFont="1">
      <alignment vertical="center"/>
    </xf>
    <xf numFmtId="176" fontId="14" fillId="0" borderId="18" xfId="0" applyNumberFormat="1" applyFont="1" applyBorder="1">
      <alignment vertical="center"/>
    </xf>
    <xf numFmtId="38" fontId="2" fillId="4" borderId="1" xfId="1" applyFont="1" applyFill="1" applyBorder="1" applyAlignment="1">
      <alignment horizontal="center" vertical="center" wrapText="1"/>
    </xf>
    <xf numFmtId="180" fontId="2" fillId="4" borderId="9" xfId="1" applyNumberFormat="1" applyFont="1" applyFill="1" applyBorder="1" applyAlignment="1">
      <alignment horizontal="center" vertical="center"/>
    </xf>
    <xf numFmtId="180" fontId="2" fillId="4" borderId="1" xfId="0" applyNumberFormat="1" applyFont="1" applyFill="1" applyBorder="1" applyAlignment="1">
      <alignment horizontal="center" vertical="center"/>
    </xf>
    <xf numFmtId="38" fontId="14" fillId="0" borderId="1" xfId="1" applyFont="1" applyFill="1" applyBorder="1">
      <alignment vertical="center"/>
    </xf>
    <xf numFmtId="176" fontId="14" fillId="0" borderId="1" xfId="0" applyNumberFormat="1" applyFont="1" applyBorder="1">
      <alignment vertical="center"/>
    </xf>
    <xf numFmtId="38" fontId="2" fillId="0" borderId="1" xfId="1" applyFont="1" applyFill="1" applyBorder="1">
      <alignment vertical="center"/>
    </xf>
    <xf numFmtId="38" fontId="2" fillId="4" borderId="1" xfId="1" applyFont="1" applyFill="1" applyBorder="1" applyAlignment="1">
      <alignment horizontal="center" vertical="center"/>
    </xf>
    <xf numFmtId="176" fontId="17" fillId="4" borderId="1" xfId="0" applyNumberFormat="1" applyFont="1" applyFill="1" applyBorder="1">
      <alignment vertical="center"/>
    </xf>
    <xf numFmtId="180" fontId="2" fillId="4" borderId="28" xfId="1" applyNumberFormat="1" applyFont="1" applyFill="1" applyBorder="1" applyAlignment="1">
      <alignment horizontal="center" vertical="center"/>
    </xf>
    <xf numFmtId="38" fontId="2" fillId="4" borderId="28" xfId="1" applyFont="1" applyFill="1" applyBorder="1" applyAlignment="1">
      <alignment horizontal="center" vertical="center"/>
    </xf>
    <xf numFmtId="180" fontId="2" fillId="4" borderId="2" xfId="0" applyNumberFormat="1" applyFont="1" applyFill="1" applyBorder="1" applyAlignment="1">
      <alignment horizontal="center" vertical="center"/>
    </xf>
    <xf numFmtId="176" fontId="2" fillId="4" borderId="2" xfId="0" applyNumberFormat="1" applyFont="1" applyFill="1" applyBorder="1" applyAlignment="1">
      <alignment horizontal="center" vertical="center"/>
    </xf>
    <xf numFmtId="180" fontId="2" fillId="0" borderId="1" xfId="1" applyNumberFormat="1" applyFont="1" applyFill="1" applyBorder="1">
      <alignment vertical="center"/>
    </xf>
    <xf numFmtId="176" fontId="2" fillId="4" borderId="5" xfId="0" applyNumberFormat="1" applyFont="1" applyFill="1" applyBorder="1" applyAlignment="1">
      <alignment horizontal="center" vertical="center" wrapText="1"/>
    </xf>
    <xf numFmtId="0" fontId="0" fillId="0" borderId="0" xfId="0" applyAlignment="1">
      <alignment vertical="top" wrapText="1"/>
    </xf>
    <xf numFmtId="0" fontId="0" fillId="0" borderId="0" xfId="0" applyAlignment="1">
      <alignment vertical="top"/>
    </xf>
    <xf numFmtId="0" fontId="2" fillId="0" borderId="5" xfId="0" applyFont="1" applyBorder="1">
      <alignment vertical="center"/>
    </xf>
    <xf numFmtId="0" fontId="18" fillId="0" borderId="0" xfId="4" applyFont="1" applyAlignment="1">
      <alignment vertical="center"/>
    </xf>
    <xf numFmtId="0" fontId="18" fillId="0" borderId="0" xfId="4" applyFont="1"/>
    <xf numFmtId="0" fontId="22" fillId="0" borderId="0" xfId="4" applyFont="1"/>
    <xf numFmtId="38" fontId="24" fillId="0" borderId="27" xfId="5" applyFont="1" applyBorder="1" applyAlignment="1"/>
    <xf numFmtId="0" fontId="24" fillId="10" borderId="0" xfId="4" applyFont="1" applyFill="1" applyAlignment="1">
      <alignment vertical="center"/>
    </xf>
    <xf numFmtId="38" fontId="24" fillId="0" borderId="27" xfId="5" applyFont="1" applyBorder="1" applyAlignment="1">
      <alignment horizontal="right"/>
    </xf>
    <xf numFmtId="0" fontId="24" fillId="0" borderId="0" xfId="4" applyFont="1" applyAlignment="1">
      <alignment horizontal="right"/>
    </xf>
    <xf numFmtId="0" fontId="18" fillId="0" borderId="0" xfId="4" applyFont="1" applyAlignment="1">
      <alignment horizontal="left"/>
    </xf>
    <xf numFmtId="38" fontId="18" fillId="0" borderId="29" xfId="5" applyFont="1" applyBorder="1" applyAlignment="1"/>
    <xf numFmtId="38" fontId="18" fillId="0" borderId="18" xfId="5" applyFont="1" applyBorder="1" applyAlignment="1"/>
    <xf numFmtId="0" fontId="18" fillId="11" borderId="30" xfId="4" applyFont="1" applyFill="1" applyBorder="1" applyAlignment="1">
      <alignment vertical="center"/>
    </xf>
    <xf numFmtId="0" fontId="18" fillId="0" borderId="0" xfId="4" applyFont="1" applyAlignment="1">
      <alignment horizontal="center" vertical="center"/>
    </xf>
    <xf numFmtId="0" fontId="18" fillId="0" borderId="0" xfId="4" applyFont="1" applyAlignment="1">
      <alignment horizontal="right" vertical="center"/>
    </xf>
    <xf numFmtId="38" fontId="18" fillId="0" borderId="5" xfId="5" applyFont="1" applyBorder="1" applyAlignment="1">
      <alignment vertical="center"/>
    </xf>
    <xf numFmtId="0" fontId="18" fillId="10" borderId="0" xfId="4" applyFont="1" applyFill="1" applyAlignment="1">
      <alignment vertical="center"/>
    </xf>
    <xf numFmtId="38" fontId="18" fillId="0" borderId="27" xfId="5" applyFont="1" applyBorder="1" applyAlignment="1">
      <alignment horizontal="right"/>
    </xf>
    <xf numFmtId="0" fontId="18" fillId="0" borderId="0" xfId="4" applyFont="1" applyAlignment="1">
      <alignment horizontal="right"/>
    </xf>
    <xf numFmtId="0" fontId="18" fillId="0" borderId="0" xfId="4" applyFont="1" applyAlignment="1">
      <alignment horizontal="left" vertical="center"/>
    </xf>
    <xf numFmtId="0" fontId="22" fillId="0" borderId="0" xfId="4" applyFont="1" applyAlignment="1">
      <alignment vertical="center"/>
    </xf>
    <xf numFmtId="0" fontId="18" fillId="0" borderId="29" xfId="4" applyFont="1" applyBorder="1" applyAlignment="1">
      <alignment horizontal="right"/>
    </xf>
    <xf numFmtId="0" fontId="18" fillId="0" borderId="29" xfId="4" applyFont="1" applyBorder="1"/>
    <xf numFmtId="38" fontId="18" fillId="11" borderId="30" xfId="5" applyFont="1" applyFill="1" applyBorder="1" applyAlignment="1">
      <alignment vertical="center"/>
    </xf>
    <xf numFmtId="0" fontId="18" fillId="10" borderId="0" xfId="4" applyFont="1" applyFill="1" applyAlignment="1">
      <alignment horizontal="right" vertical="center"/>
    </xf>
    <xf numFmtId="0" fontId="24" fillId="10" borderId="0" xfId="4" applyFont="1" applyFill="1" applyAlignment="1">
      <alignment horizontal="left" vertical="center"/>
    </xf>
    <xf numFmtId="0" fontId="16" fillId="0" borderId="0" xfId="4" applyFont="1" applyAlignment="1">
      <alignment horizontal="center" vertical="center"/>
    </xf>
    <xf numFmtId="0" fontId="24" fillId="0" borderId="0" xfId="4" applyFont="1" applyAlignment="1">
      <alignment horizontal="center" vertical="center"/>
    </xf>
    <xf numFmtId="38" fontId="18" fillId="0" borderId="5" xfId="5" applyFont="1" applyBorder="1">
      <alignment vertical="center"/>
    </xf>
    <xf numFmtId="38" fontId="18" fillId="0" borderId="1" xfId="5" applyFont="1" applyBorder="1">
      <alignment vertical="center"/>
    </xf>
    <xf numFmtId="0" fontId="18" fillId="0" borderId="1" xfId="4" applyFont="1" applyBorder="1" applyAlignment="1">
      <alignment horizontal="center" vertical="center"/>
    </xf>
    <xf numFmtId="0" fontId="18" fillId="0" borderId="5" xfId="4" applyFont="1" applyBorder="1" applyAlignment="1">
      <alignment horizontal="center" vertical="center"/>
    </xf>
    <xf numFmtId="0" fontId="18" fillId="0" borderId="30" xfId="4" applyFont="1" applyBorder="1" applyAlignment="1">
      <alignment horizontal="center" vertical="center"/>
    </xf>
    <xf numFmtId="0" fontId="18" fillId="11" borderId="1" xfId="4" applyFont="1" applyFill="1" applyBorder="1" applyAlignment="1">
      <alignment horizontal="center" vertical="center"/>
    </xf>
    <xf numFmtId="38" fontId="18" fillId="11" borderId="1" xfId="5" applyFont="1" applyFill="1" applyBorder="1" applyAlignment="1">
      <alignment vertical="center"/>
    </xf>
    <xf numFmtId="0" fontId="18" fillId="11" borderId="1" xfId="4" applyFont="1" applyFill="1" applyBorder="1" applyAlignment="1">
      <alignment vertical="center"/>
    </xf>
    <xf numFmtId="49" fontId="22" fillId="11" borderId="0" xfId="4" applyNumberFormat="1" applyFont="1" applyFill="1" applyAlignment="1">
      <alignment vertical="center"/>
    </xf>
    <xf numFmtId="0" fontId="22" fillId="11" borderId="0" xfId="4" applyFont="1" applyFill="1" applyAlignment="1">
      <alignment vertical="center"/>
    </xf>
    <xf numFmtId="38" fontId="18" fillId="11" borderId="1" xfId="5" applyFont="1" applyFill="1" applyBorder="1">
      <alignment vertical="center"/>
    </xf>
    <xf numFmtId="38" fontId="18" fillId="0" borderId="1" xfId="5" applyFont="1" applyBorder="1" applyAlignment="1">
      <alignment vertical="center"/>
    </xf>
    <xf numFmtId="0" fontId="2" fillId="0" borderId="0" xfId="0" applyFont="1" applyAlignment="1">
      <alignment horizontal="left" vertical="center"/>
    </xf>
    <xf numFmtId="0" fontId="26" fillId="10" borderId="0" xfId="4" applyFont="1" applyFill="1" applyAlignment="1">
      <alignment vertical="center"/>
    </xf>
    <xf numFmtId="0" fontId="27" fillId="10" borderId="0" xfId="4" applyFont="1" applyFill="1" applyAlignment="1">
      <alignment vertical="center"/>
    </xf>
    <xf numFmtId="0" fontId="14" fillId="0" borderId="5" xfId="0" applyFont="1" applyBorder="1">
      <alignment vertical="center"/>
    </xf>
    <xf numFmtId="176" fontId="14" fillId="0" borderId="5" xfId="0" applyNumberFormat="1" applyFont="1" applyBorder="1" applyAlignment="1">
      <alignment vertical="center" wrapText="1"/>
    </xf>
    <xf numFmtId="38" fontId="8" fillId="0" borderId="0" xfId="0" applyNumberFormat="1" applyFont="1" applyAlignment="1">
      <alignment vertical="center" wrapText="1"/>
    </xf>
    <xf numFmtId="0" fontId="10" fillId="0" borderId="0" xfId="0" applyFont="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center"/>
    </xf>
    <xf numFmtId="0" fontId="0" fillId="0" borderId="5" xfId="0"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xf>
    <xf numFmtId="3" fontId="0" fillId="0" borderId="5" xfId="0" applyNumberFormat="1" applyBorder="1" applyAlignment="1">
      <alignment horizontal="center" vertical="center"/>
    </xf>
    <xf numFmtId="3" fontId="0" fillId="0" borderId="9" xfId="0" applyNumberFormat="1" applyBorder="1" applyAlignment="1">
      <alignment horizontal="center" vertical="center"/>
    </xf>
    <xf numFmtId="0" fontId="0" fillId="2" borderId="5" xfId="0" applyFill="1" applyBorder="1" applyAlignment="1">
      <alignment horizontal="center" vertical="center"/>
    </xf>
    <xf numFmtId="0" fontId="0" fillId="2" borderId="18" xfId="0" applyFill="1" applyBorder="1" applyAlignment="1">
      <alignment horizontal="center" vertical="center"/>
    </xf>
    <xf numFmtId="0" fontId="0" fillId="2" borderId="9" xfId="0" applyFill="1" applyBorder="1" applyAlignment="1">
      <alignment horizontal="center" vertical="center"/>
    </xf>
    <xf numFmtId="3" fontId="0" fillId="0" borderId="5" xfId="0" applyNumberFormat="1" applyBorder="1" applyAlignment="1">
      <alignment horizontal="left" vertical="center"/>
    </xf>
    <xf numFmtId="3" fontId="0" fillId="0" borderId="9" xfId="0" applyNumberFormat="1" applyBorder="1" applyAlignment="1">
      <alignment horizontal="left" vertical="center"/>
    </xf>
    <xf numFmtId="0" fontId="0" fillId="0" borderId="1" xfId="0" applyBorder="1" applyAlignment="1">
      <alignment horizontal="center" vertical="center"/>
    </xf>
    <xf numFmtId="3" fontId="0" fillId="0" borderId="1" xfId="0" applyNumberFormat="1" applyBorder="1" applyAlignment="1">
      <alignment horizontal="left"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0" xfId="0" applyAlignment="1">
      <alignment horizontal="left" vertical="top" wrapText="1"/>
    </xf>
    <xf numFmtId="38" fontId="8" fillId="0" borderId="0" xfId="0" applyNumberFormat="1" applyFont="1" applyAlignment="1">
      <alignment horizontal="left" vertical="center" wrapText="1"/>
    </xf>
    <xf numFmtId="0" fontId="13" fillId="0" borderId="0" xfId="0" applyFont="1" applyAlignment="1">
      <alignment vertical="center"/>
    </xf>
    <xf numFmtId="0" fontId="13" fillId="0" borderId="25" xfId="0" applyFont="1" applyBorder="1" applyAlignment="1">
      <alignment vertical="center"/>
    </xf>
    <xf numFmtId="0" fontId="13" fillId="0" borderId="0" xfId="0" applyFont="1" applyAlignment="1">
      <alignment horizontal="left" vertical="center"/>
    </xf>
    <xf numFmtId="0" fontId="13" fillId="0" borderId="15" xfId="0" applyFont="1" applyBorder="1" applyAlignment="1">
      <alignment horizontal="left" vertical="center"/>
    </xf>
    <xf numFmtId="0" fontId="13" fillId="0" borderId="23" xfId="0" applyFont="1" applyBorder="1" applyAlignment="1">
      <alignment vertical="center"/>
    </xf>
    <xf numFmtId="0" fontId="13" fillId="8" borderId="24" xfId="0" applyFont="1" applyFill="1" applyBorder="1" applyAlignment="1">
      <alignment horizontal="left" vertical="center"/>
    </xf>
    <xf numFmtId="0" fontId="13" fillId="8" borderId="20" xfId="0" applyFont="1" applyFill="1" applyBorder="1" applyAlignment="1">
      <alignment horizontal="left" vertical="center"/>
    </xf>
    <xf numFmtId="0" fontId="13" fillId="8" borderId="4" xfId="0" applyFont="1" applyFill="1" applyBorder="1" applyAlignment="1">
      <alignment vertical="center"/>
    </xf>
    <xf numFmtId="0" fontId="13" fillId="8" borderId="2" xfId="0" applyFont="1" applyFill="1" applyBorder="1" applyAlignment="1">
      <alignment vertical="center"/>
    </xf>
    <xf numFmtId="0" fontId="18" fillId="11" borderId="27" xfId="4" applyFont="1" applyFill="1" applyBorder="1" applyAlignment="1">
      <alignment horizontal="left" vertical="center"/>
    </xf>
    <xf numFmtId="0" fontId="18" fillId="0" borderId="1" xfId="4" applyFont="1" applyBorder="1" applyAlignment="1">
      <alignment horizontal="center" vertical="center"/>
    </xf>
    <xf numFmtId="0" fontId="18" fillId="0" borderId="5" xfId="4" applyFont="1" applyBorder="1" applyAlignment="1">
      <alignment horizontal="center" vertical="center"/>
    </xf>
    <xf numFmtId="0" fontId="18" fillId="0" borderId="30" xfId="4" applyFont="1" applyBorder="1" applyAlignment="1">
      <alignment horizontal="center" vertical="center"/>
    </xf>
    <xf numFmtId="0" fontId="18" fillId="11" borderId="27" xfId="4" applyFont="1" applyFill="1" applyBorder="1" applyAlignment="1">
      <alignment horizontal="center" vertical="center"/>
    </xf>
    <xf numFmtId="0" fontId="25" fillId="0" borderId="0" xfId="4" applyFont="1" applyAlignment="1">
      <alignment horizontal="center" vertical="center"/>
    </xf>
  </cellXfs>
  <cellStyles count="6">
    <cellStyle name="Hyperlink" xfId="2" xr:uid="{00000000-0005-0000-0000-000000000000}"/>
    <cellStyle name="ハイパーリンク" xfId="3" builtinId="8"/>
    <cellStyle name="桁区切り" xfId="1" builtinId="6"/>
    <cellStyle name="桁区切り 2" xfId="5" xr:uid="{9D4531F7-39F9-401A-ACE5-8D1A38EA0A35}"/>
    <cellStyle name="標準" xfId="0" builtinId="0"/>
    <cellStyle name="標準 2" xfId="4" xr:uid="{4FA1929F-A683-4E46-959E-FFC129AB93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174326</xdr:colOff>
      <xdr:row>23</xdr:row>
      <xdr:rowOff>20918</xdr:rowOff>
    </xdr:from>
    <xdr:to>
      <xdr:col>22</xdr:col>
      <xdr:colOff>94582</xdr:colOff>
      <xdr:row>25</xdr:row>
      <xdr:rowOff>45272</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2573448" y="5526742"/>
          <a:ext cx="1902012" cy="56223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要員・</a:t>
          </a:r>
          <a:r>
            <a:rPr kumimoji="1" lang="en-US" altLang="ja-JP" sz="1100"/>
            <a:t>M/D</a:t>
          </a:r>
          <a:r>
            <a:rPr kumimoji="1" lang="ja-JP" altLang="en-US" sz="1100"/>
            <a:t>は詳細計画の結果を踏まえ要精査。</a:t>
          </a:r>
          <a:br>
            <a:rPr kumimoji="1" lang="en-US" altLang="ja-JP" sz="1100"/>
          </a:b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174326</xdr:colOff>
      <xdr:row>23</xdr:row>
      <xdr:rowOff>20918</xdr:rowOff>
    </xdr:from>
    <xdr:to>
      <xdr:col>22</xdr:col>
      <xdr:colOff>94582</xdr:colOff>
      <xdr:row>25</xdr:row>
      <xdr:rowOff>45272</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537776" y="4948518"/>
          <a:ext cx="1901456" cy="37995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要員・</a:t>
          </a:r>
          <a:r>
            <a:rPr kumimoji="1" lang="en-US" altLang="ja-JP" sz="1100"/>
            <a:t>M/D</a:t>
          </a:r>
          <a:r>
            <a:rPr kumimoji="1" lang="ja-JP" altLang="en-US" sz="1100"/>
            <a:t>は詳細計画の結果を踏まえ要精査。</a:t>
          </a:r>
          <a:br>
            <a:rPr kumimoji="1" lang="en-US" altLang="ja-JP" sz="1100"/>
          </a:b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
  <sheetViews>
    <sheetView workbookViewId="0">
      <selection activeCell="D14" sqref="D14"/>
    </sheetView>
  </sheetViews>
  <sheetFormatPr defaultColWidth="8.59765625" defaultRowHeight="14.4" x14ac:dyDescent="0.2"/>
  <cols>
    <col min="1" max="1" width="3.59765625" style="18" customWidth="1"/>
    <col min="2" max="3" width="7" style="18" customWidth="1"/>
    <col min="4" max="4" width="15.59765625" style="18" customWidth="1"/>
    <col min="5" max="5" width="12.69921875" style="18" customWidth="1"/>
    <col min="6" max="6" width="11.19921875" style="18" bestFit="1" customWidth="1"/>
    <col min="7" max="16384" width="8.59765625" style="18"/>
  </cols>
  <sheetData>
    <row r="1" spans="1:11" ht="16.2" x14ac:dyDescent="0.2">
      <c r="A1" s="205" t="s">
        <v>0</v>
      </c>
      <c r="B1" s="205"/>
      <c r="C1" s="205"/>
      <c r="D1" s="205"/>
      <c r="E1" s="205"/>
      <c r="F1" s="205"/>
      <c r="G1" s="205"/>
      <c r="H1" s="205"/>
      <c r="I1" s="205"/>
      <c r="J1" s="205"/>
      <c r="K1" s="205"/>
    </row>
    <row r="2" spans="1:11" ht="16.2" x14ac:dyDescent="0.2">
      <c r="A2" s="205" t="s">
        <v>1</v>
      </c>
      <c r="B2" s="205"/>
      <c r="C2" s="205"/>
      <c r="D2" s="205"/>
      <c r="E2" s="205"/>
      <c r="F2" s="205"/>
      <c r="G2" s="205"/>
      <c r="H2" s="205"/>
      <c r="I2" s="205"/>
      <c r="J2" s="205"/>
      <c r="K2" s="205"/>
    </row>
    <row r="3" spans="1:11" ht="16.2" x14ac:dyDescent="0.2">
      <c r="A3" s="17"/>
      <c r="B3" s="17"/>
      <c r="C3" s="17"/>
      <c r="D3" s="17"/>
      <c r="E3" s="17"/>
      <c r="F3" s="17"/>
      <c r="G3" s="17"/>
      <c r="H3" s="17"/>
      <c r="I3" s="17"/>
      <c r="J3" s="17"/>
      <c r="K3" s="17"/>
    </row>
    <row r="4" spans="1:11" x14ac:dyDescent="0.2">
      <c r="B4" s="12" t="s">
        <v>2</v>
      </c>
      <c r="C4" s="12" t="s">
        <v>3</v>
      </c>
      <c r="D4" s="12" t="s">
        <v>4</v>
      </c>
      <c r="E4" s="12" t="s">
        <v>5</v>
      </c>
    </row>
    <row r="5" spans="1:11" x14ac:dyDescent="0.2">
      <c r="B5" s="12">
        <v>2021</v>
      </c>
      <c r="C5" s="12">
        <v>1</v>
      </c>
      <c r="D5" s="12" t="s">
        <v>6</v>
      </c>
      <c r="E5" s="19">
        <f>'Ver1_オンライン（2021年度1回・2022年度1回）'!J40</f>
        <v>14718660</v>
      </c>
      <c r="F5" s="97">
        <f>E5</f>
        <v>14718660</v>
      </c>
    </row>
    <row r="6" spans="1:11" x14ac:dyDescent="0.2">
      <c r="B6" s="12">
        <v>2022</v>
      </c>
      <c r="C6" s="12">
        <v>1</v>
      </c>
      <c r="D6" s="12" t="s">
        <v>6</v>
      </c>
      <c r="E6" s="19">
        <f>E5</f>
        <v>14718660</v>
      </c>
    </row>
    <row r="7" spans="1:11" x14ac:dyDescent="0.2">
      <c r="B7" s="12"/>
      <c r="C7" s="12">
        <v>2</v>
      </c>
      <c r="D7" s="12" t="s">
        <v>7</v>
      </c>
      <c r="E7" s="14">
        <f>'Ver1ハイブリッド（2022年度2回目、2023年度1回目)'!G35</f>
        <v>27465900</v>
      </c>
      <c r="F7" s="97">
        <f>E6+E7</f>
        <v>42184560</v>
      </c>
    </row>
    <row r="8" spans="1:11" x14ac:dyDescent="0.2">
      <c r="B8" s="12">
        <v>2023</v>
      </c>
      <c r="C8" s="12">
        <v>1</v>
      </c>
      <c r="D8" s="12" t="s">
        <v>7</v>
      </c>
      <c r="E8" s="19">
        <f>E7</f>
        <v>27465900</v>
      </c>
    </row>
    <row r="9" spans="1:11" x14ac:dyDescent="0.2">
      <c r="B9" s="12"/>
      <c r="C9" s="12">
        <v>2</v>
      </c>
      <c r="D9" s="12" t="s">
        <v>8</v>
      </c>
      <c r="E9" s="14">
        <f>'Ver1_訪日（2023年度2回3回）'!G32</f>
        <v>33287100</v>
      </c>
    </row>
    <row r="10" spans="1:11" ht="15" thickBot="1" x14ac:dyDescent="0.25">
      <c r="B10" s="21"/>
      <c r="C10" s="21">
        <v>3</v>
      </c>
      <c r="D10" s="21" t="s">
        <v>8</v>
      </c>
      <c r="E10" s="89">
        <f>E9</f>
        <v>33287100</v>
      </c>
      <c r="F10" s="97">
        <f>SUM(E8:E10)</f>
        <v>94040100</v>
      </c>
    </row>
    <row r="11" spans="1:11" ht="15" thickTop="1" x14ac:dyDescent="0.2">
      <c r="B11" s="20"/>
      <c r="C11" s="20"/>
      <c r="D11" s="20"/>
      <c r="E11" s="22">
        <f>SUM(E5:E10)</f>
        <v>150943320</v>
      </c>
    </row>
    <row r="13" spans="1:11" x14ac:dyDescent="0.2">
      <c r="B13" s="18" t="s">
        <v>9</v>
      </c>
    </row>
  </sheetData>
  <mergeCells count="2">
    <mergeCell ref="A1:K1"/>
    <mergeCell ref="A2:K2"/>
  </mergeCells>
  <phoneticPr fontId="1"/>
  <pageMargins left="0.7" right="0.7" top="0.75" bottom="0.75" header="0.3" footer="0.3"/>
  <pageSetup paperSize="9" orientation="portrait" horizontalDpi="4294967292" verticalDpi="0" copies="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36"/>
  <sheetViews>
    <sheetView topLeftCell="A14" zoomScale="55" zoomScaleNormal="55" workbookViewId="0">
      <selection activeCell="K7" sqref="K7"/>
    </sheetView>
  </sheetViews>
  <sheetFormatPr defaultRowHeight="14.4" x14ac:dyDescent="0.2"/>
  <cols>
    <col min="1" max="1" width="20.59765625" customWidth="1"/>
    <col min="2" max="2" width="8.5" customWidth="1"/>
    <col min="3" max="3" width="49" style="13" customWidth="1"/>
    <col min="4" max="4" width="18.19921875" style="5" customWidth="1"/>
    <col min="5" max="5" width="16.69921875" style="127" customWidth="1"/>
    <col min="6" max="6" width="9.59765625" style="125" customWidth="1"/>
    <col min="7" max="7" width="12.19921875" style="130" customWidth="1"/>
    <col min="8" max="8" width="12.69921875" style="24" customWidth="1"/>
    <col min="9" max="9" width="20.59765625" customWidth="1"/>
    <col min="10" max="10" width="52.09765625" customWidth="1"/>
    <col min="11" max="11" width="35.19921875" customWidth="1"/>
    <col min="22" max="22" width="16.19921875" customWidth="1"/>
  </cols>
  <sheetData>
    <row r="1" spans="1:11" ht="23.4" x14ac:dyDescent="0.2">
      <c r="A1" s="23" t="s">
        <v>277</v>
      </c>
      <c r="B1" s="24"/>
      <c r="G1" s="128"/>
      <c r="H1" s="26"/>
      <c r="I1" s="26"/>
      <c r="J1" s="32"/>
    </row>
    <row r="2" spans="1:11" x14ac:dyDescent="0.2">
      <c r="A2" t="s">
        <v>278</v>
      </c>
      <c r="B2" s="24"/>
      <c r="G2" s="128"/>
      <c r="H2" s="26"/>
      <c r="I2" s="26"/>
      <c r="J2" s="32"/>
    </row>
    <row r="3" spans="1:11" ht="38.1" customHeight="1" x14ac:dyDescent="0.2">
      <c r="A3" s="36" t="s">
        <v>74</v>
      </c>
      <c r="B3" s="37"/>
      <c r="C3" s="157" t="s">
        <v>279</v>
      </c>
      <c r="D3" s="144" t="s">
        <v>259</v>
      </c>
      <c r="E3" s="145" t="s">
        <v>27</v>
      </c>
      <c r="F3" s="126" t="s">
        <v>28</v>
      </c>
      <c r="G3" s="146" t="s">
        <v>27</v>
      </c>
      <c r="H3" s="122" t="s">
        <v>28</v>
      </c>
      <c r="I3" s="59">
        <f>ROUNDDOWN(SUM(I4:I27),-3)</f>
        <v>25757000</v>
      </c>
      <c r="J3" s="37" t="s">
        <v>280</v>
      </c>
      <c r="K3" s="24"/>
    </row>
    <row r="4" spans="1:11" ht="45.6" customHeight="1" x14ac:dyDescent="0.2">
      <c r="A4" s="116" t="s">
        <v>281</v>
      </c>
      <c r="B4" s="46" t="s">
        <v>78</v>
      </c>
      <c r="C4" s="203" t="s">
        <v>282</v>
      </c>
      <c r="D4" s="147">
        <v>450000</v>
      </c>
      <c r="E4" s="132">
        <v>1</v>
      </c>
      <c r="F4" s="133" t="s">
        <v>262</v>
      </c>
      <c r="G4" s="132">
        <v>15</v>
      </c>
      <c r="H4" s="133" t="s">
        <v>283</v>
      </c>
      <c r="I4" s="148">
        <f>D4*E4*G4</f>
        <v>6750000</v>
      </c>
      <c r="J4" s="54" t="s">
        <v>284</v>
      </c>
    </row>
    <row r="5" spans="1:11" ht="45.6" customHeight="1" x14ac:dyDescent="0.2">
      <c r="A5" s="118"/>
      <c r="B5" s="46" t="s">
        <v>81</v>
      </c>
      <c r="C5" s="203" t="s">
        <v>285</v>
      </c>
      <c r="D5" s="147">
        <v>250000</v>
      </c>
      <c r="E5" s="134">
        <v>1</v>
      </c>
      <c r="F5" s="135" t="s">
        <v>262</v>
      </c>
      <c r="G5" s="134">
        <v>7</v>
      </c>
      <c r="H5" s="135" t="s">
        <v>283</v>
      </c>
      <c r="I5" s="148">
        <f>D5*E5*G5</f>
        <v>1750000</v>
      </c>
      <c r="J5" s="54" t="s">
        <v>286</v>
      </c>
    </row>
    <row r="6" spans="1:11" ht="45.6" customHeight="1" x14ac:dyDescent="0.2">
      <c r="A6" s="118"/>
      <c r="B6" s="46" t="s">
        <v>84</v>
      </c>
      <c r="C6" s="203" t="s">
        <v>94</v>
      </c>
      <c r="D6" s="149"/>
      <c r="E6" s="136">
        <v>22</v>
      </c>
      <c r="F6" s="137" t="s">
        <v>283</v>
      </c>
      <c r="G6" s="129">
        <v>1</v>
      </c>
      <c r="H6" s="120" t="s">
        <v>273</v>
      </c>
      <c r="I6" s="148">
        <f>D6*E6*G6</f>
        <v>0</v>
      </c>
      <c r="J6" s="54" t="s">
        <v>287</v>
      </c>
      <c r="K6" s="131"/>
    </row>
    <row r="7" spans="1:11" ht="45.6" customHeight="1" x14ac:dyDescent="0.2">
      <c r="A7" s="118"/>
      <c r="B7" s="46" t="s">
        <v>87</v>
      </c>
      <c r="C7" s="203" t="s">
        <v>288</v>
      </c>
      <c r="D7" s="147">
        <v>45000</v>
      </c>
      <c r="E7" s="136">
        <v>12</v>
      </c>
      <c r="F7" s="137" t="s">
        <v>265</v>
      </c>
      <c r="G7" s="129">
        <v>22</v>
      </c>
      <c r="H7" s="133" t="s">
        <v>283</v>
      </c>
      <c r="I7" s="148">
        <f t="shared" ref="I7:I31" si="0">D7*E7*G7</f>
        <v>11880000</v>
      </c>
      <c r="J7" s="123" t="s">
        <v>289</v>
      </c>
      <c r="K7" s="131"/>
    </row>
    <row r="8" spans="1:11" ht="63" customHeight="1" x14ac:dyDescent="0.2">
      <c r="A8" s="118"/>
      <c r="B8" s="46" t="s">
        <v>89</v>
      </c>
      <c r="C8" s="203" t="s">
        <v>290</v>
      </c>
      <c r="D8" s="147">
        <v>45000</v>
      </c>
      <c r="E8" s="136">
        <v>9</v>
      </c>
      <c r="F8" s="137" t="s">
        <v>265</v>
      </c>
      <c r="G8" s="129">
        <v>3</v>
      </c>
      <c r="H8" s="133" t="s">
        <v>283</v>
      </c>
      <c r="I8" s="148">
        <f t="shared" si="0"/>
        <v>1215000</v>
      </c>
      <c r="J8" s="123" t="s">
        <v>291</v>
      </c>
    </row>
    <row r="9" spans="1:11" ht="45.6" customHeight="1" x14ac:dyDescent="0.2">
      <c r="A9" s="118"/>
      <c r="B9" s="46" t="s">
        <v>91</v>
      </c>
      <c r="C9" s="203" t="s">
        <v>292</v>
      </c>
      <c r="D9" s="147">
        <v>30000</v>
      </c>
      <c r="E9" s="136">
        <v>3</v>
      </c>
      <c r="F9" s="137" t="s">
        <v>265</v>
      </c>
      <c r="G9" s="129">
        <v>3</v>
      </c>
      <c r="H9" s="133" t="s">
        <v>283</v>
      </c>
      <c r="I9" s="148">
        <f t="shared" si="0"/>
        <v>270000</v>
      </c>
      <c r="J9" s="123" t="s">
        <v>293</v>
      </c>
    </row>
    <row r="10" spans="1:11" ht="45.6" customHeight="1" x14ac:dyDescent="0.2">
      <c r="A10" s="118"/>
      <c r="B10" s="46" t="s">
        <v>93</v>
      </c>
      <c r="C10" s="203" t="s">
        <v>294</v>
      </c>
      <c r="D10" s="147">
        <v>30000</v>
      </c>
      <c r="E10" s="136">
        <v>3</v>
      </c>
      <c r="F10" s="137" t="s">
        <v>265</v>
      </c>
      <c r="G10" s="129">
        <v>2</v>
      </c>
      <c r="H10" s="133" t="s">
        <v>283</v>
      </c>
      <c r="I10" s="148">
        <f t="shared" si="0"/>
        <v>180000</v>
      </c>
      <c r="J10" s="123" t="s">
        <v>293</v>
      </c>
    </row>
    <row r="11" spans="1:11" ht="45.6" customHeight="1" x14ac:dyDescent="0.2">
      <c r="A11" s="118"/>
      <c r="B11" s="46" t="s">
        <v>95</v>
      </c>
      <c r="C11" s="203" t="s">
        <v>295</v>
      </c>
      <c r="D11" s="149">
        <v>12500</v>
      </c>
      <c r="E11" s="136">
        <v>11</v>
      </c>
      <c r="F11" s="137" t="s">
        <v>46</v>
      </c>
      <c r="G11" s="129">
        <v>22</v>
      </c>
      <c r="H11" s="120" t="s">
        <v>283</v>
      </c>
      <c r="I11" s="148">
        <f t="shared" si="0"/>
        <v>3025000</v>
      </c>
      <c r="J11" s="123" t="s">
        <v>296</v>
      </c>
    </row>
    <row r="12" spans="1:11" ht="45" customHeight="1" x14ac:dyDescent="0.2">
      <c r="A12" s="118"/>
      <c r="B12" s="46" t="s">
        <v>97</v>
      </c>
      <c r="C12" s="203" t="s">
        <v>297</v>
      </c>
      <c r="D12" s="149">
        <v>12500</v>
      </c>
      <c r="E12" s="136">
        <v>11</v>
      </c>
      <c r="F12" s="137" t="s">
        <v>46</v>
      </c>
      <c r="G12" s="129">
        <v>2</v>
      </c>
      <c r="H12" s="120" t="s">
        <v>283</v>
      </c>
      <c r="I12" s="148">
        <f t="shared" si="0"/>
        <v>275000</v>
      </c>
      <c r="J12" s="123" t="s">
        <v>296</v>
      </c>
    </row>
    <row r="13" spans="1:11" ht="45" customHeight="1" x14ac:dyDescent="0.2">
      <c r="A13" s="118"/>
      <c r="B13" s="46" t="s">
        <v>99</v>
      </c>
      <c r="C13" s="203" t="s">
        <v>298</v>
      </c>
      <c r="D13" s="149">
        <v>12500</v>
      </c>
      <c r="E13" s="136">
        <v>11</v>
      </c>
      <c r="F13" s="137" t="s">
        <v>46</v>
      </c>
      <c r="G13" s="129">
        <v>3</v>
      </c>
      <c r="H13" s="120" t="s">
        <v>283</v>
      </c>
      <c r="I13" s="148">
        <f t="shared" si="0"/>
        <v>412500</v>
      </c>
      <c r="J13" s="123" t="s">
        <v>296</v>
      </c>
    </row>
    <row r="14" spans="1:11" ht="45" customHeight="1" x14ac:dyDescent="0.2">
      <c r="A14" s="118"/>
      <c r="B14" s="46" t="s">
        <v>101</v>
      </c>
      <c r="C14" s="115" t="s">
        <v>88</v>
      </c>
      <c r="D14" s="149"/>
      <c r="E14" s="136">
        <v>2</v>
      </c>
      <c r="F14" s="137" t="s">
        <v>242</v>
      </c>
      <c r="G14" s="129">
        <v>1</v>
      </c>
      <c r="H14" s="120" t="s">
        <v>273</v>
      </c>
      <c r="I14" s="148">
        <f t="shared" si="0"/>
        <v>0</v>
      </c>
      <c r="J14" s="54"/>
    </row>
    <row r="15" spans="1:11" ht="45" customHeight="1" x14ac:dyDescent="0.2">
      <c r="A15" s="118"/>
      <c r="B15" s="46" t="s">
        <v>104</v>
      </c>
      <c r="C15" s="115" t="s">
        <v>299</v>
      </c>
      <c r="D15" s="149"/>
      <c r="E15" s="136"/>
      <c r="F15" s="137"/>
      <c r="G15" s="129"/>
      <c r="H15" s="120"/>
      <c r="I15" s="148">
        <f t="shared" si="0"/>
        <v>0</v>
      </c>
      <c r="J15" s="143"/>
      <c r="K15" s="54"/>
    </row>
    <row r="16" spans="1:11" ht="45" customHeight="1" x14ac:dyDescent="0.2">
      <c r="A16" s="118"/>
      <c r="B16" s="46" t="s">
        <v>106</v>
      </c>
      <c r="C16" s="115" t="s">
        <v>300</v>
      </c>
      <c r="D16" s="149"/>
      <c r="E16" s="136"/>
      <c r="F16" s="137"/>
      <c r="G16" s="129"/>
      <c r="H16" s="120"/>
      <c r="I16" s="148">
        <f t="shared" si="0"/>
        <v>0</v>
      </c>
      <c r="J16" s="54"/>
    </row>
    <row r="17" spans="1:11" ht="45" customHeight="1" x14ac:dyDescent="0.2">
      <c r="A17" s="118" t="s">
        <v>301</v>
      </c>
      <c r="B17" s="46" t="s">
        <v>108</v>
      </c>
      <c r="C17" s="115" t="s">
        <v>268</v>
      </c>
      <c r="D17" s="147"/>
      <c r="E17" s="134"/>
      <c r="F17" s="135"/>
      <c r="G17" s="132"/>
      <c r="H17" s="133"/>
      <c r="I17" s="148">
        <f t="shared" si="0"/>
        <v>0</v>
      </c>
      <c r="J17" s="138"/>
      <c r="K17" s="131"/>
    </row>
    <row r="18" spans="1:11" ht="45" customHeight="1" x14ac:dyDescent="0.2">
      <c r="A18" s="118"/>
      <c r="B18" s="46" t="s">
        <v>110</v>
      </c>
      <c r="C18" s="115" t="s">
        <v>37</v>
      </c>
      <c r="D18" s="147"/>
      <c r="E18" s="134"/>
      <c r="F18" s="135"/>
      <c r="G18" s="132"/>
      <c r="H18" s="133"/>
      <c r="I18" s="148">
        <f t="shared" si="0"/>
        <v>0</v>
      </c>
      <c r="J18" s="138"/>
      <c r="K18" s="131"/>
    </row>
    <row r="19" spans="1:11" ht="45" customHeight="1" x14ac:dyDescent="0.2">
      <c r="A19" s="118"/>
      <c r="B19" s="46" t="s">
        <v>112</v>
      </c>
      <c r="C19" s="115" t="s">
        <v>302</v>
      </c>
      <c r="D19" s="147"/>
      <c r="E19" s="134"/>
      <c r="F19" s="135"/>
      <c r="G19" s="132"/>
      <c r="H19" s="133"/>
      <c r="I19" s="148">
        <f t="shared" si="0"/>
        <v>0</v>
      </c>
      <c r="J19" s="123"/>
    </row>
    <row r="20" spans="1:11" ht="45" customHeight="1" x14ac:dyDescent="0.2">
      <c r="A20" s="118"/>
      <c r="B20" s="46" t="s">
        <v>303</v>
      </c>
      <c r="C20" s="115" t="s">
        <v>102</v>
      </c>
      <c r="D20" s="147"/>
      <c r="E20" s="134"/>
      <c r="F20" s="135"/>
      <c r="G20" s="132"/>
      <c r="H20" s="133"/>
      <c r="I20" s="148">
        <f t="shared" si="0"/>
        <v>0</v>
      </c>
      <c r="J20" s="123"/>
      <c r="K20" s="131"/>
    </row>
    <row r="21" spans="1:11" ht="45" customHeight="1" x14ac:dyDescent="0.2">
      <c r="A21" s="118"/>
      <c r="B21" s="46" t="s">
        <v>117</v>
      </c>
      <c r="C21" s="115" t="s">
        <v>304</v>
      </c>
      <c r="D21" s="147"/>
      <c r="E21" s="134"/>
      <c r="F21" s="135"/>
      <c r="G21" s="132"/>
      <c r="H21" s="133"/>
      <c r="I21" s="148">
        <f>D21*E21*G21</f>
        <v>0</v>
      </c>
      <c r="J21" s="123"/>
    </row>
    <row r="22" spans="1:11" ht="45" customHeight="1" x14ac:dyDescent="0.2">
      <c r="A22" s="118"/>
      <c r="B22" s="46" t="s">
        <v>120</v>
      </c>
      <c r="C22" s="115" t="s">
        <v>305</v>
      </c>
      <c r="D22" s="147"/>
      <c r="E22" s="139"/>
      <c r="F22" s="135"/>
      <c r="G22" s="132"/>
      <c r="H22" s="133"/>
      <c r="I22" s="148">
        <f t="shared" si="0"/>
        <v>0</v>
      </c>
      <c r="J22" s="123"/>
    </row>
    <row r="23" spans="1:11" ht="45" customHeight="1" x14ac:dyDescent="0.2">
      <c r="A23" s="118"/>
      <c r="B23" s="46" t="s">
        <v>122</v>
      </c>
      <c r="C23" s="115" t="s">
        <v>111</v>
      </c>
      <c r="D23" s="149"/>
      <c r="E23" s="136"/>
      <c r="F23" s="137"/>
      <c r="G23" s="129"/>
      <c r="H23" s="120"/>
      <c r="I23" s="148">
        <f t="shared" si="0"/>
        <v>0</v>
      </c>
      <c r="J23" s="54"/>
      <c r="K23" s="131"/>
    </row>
    <row r="24" spans="1:11" ht="45" customHeight="1" x14ac:dyDescent="0.2">
      <c r="A24" s="118"/>
      <c r="B24" s="46" t="s">
        <v>123</v>
      </c>
      <c r="C24" s="115" t="s">
        <v>306</v>
      </c>
      <c r="D24" s="147"/>
      <c r="E24" s="134"/>
      <c r="F24" s="135"/>
      <c r="G24" s="132"/>
      <c r="H24" s="133"/>
      <c r="I24" s="148">
        <f t="shared" si="0"/>
        <v>0</v>
      </c>
      <c r="J24" s="54" t="s">
        <v>307</v>
      </c>
    </row>
    <row r="25" spans="1:11" ht="45" customHeight="1" x14ac:dyDescent="0.2">
      <c r="A25" s="118"/>
      <c r="B25" s="46" t="s">
        <v>308</v>
      </c>
      <c r="C25" s="115" t="s">
        <v>309</v>
      </c>
      <c r="D25" s="147"/>
      <c r="E25" s="134"/>
      <c r="F25" s="135"/>
      <c r="G25" s="132">
        <v>27</v>
      </c>
      <c r="H25" s="133" t="s">
        <v>263</v>
      </c>
      <c r="I25" s="148">
        <f t="shared" si="0"/>
        <v>0</v>
      </c>
      <c r="J25" s="54" t="s">
        <v>310</v>
      </c>
    </row>
    <row r="26" spans="1:11" ht="45" customHeight="1" x14ac:dyDescent="0.2">
      <c r="A26" s="118"/>
      <c r="B26" s="46" t="s">
        <v>311</v>
      </c>
      <c r="C26" s="115" t="s">
        <v>115</v>
      </c>
      <c r="D26" s="147"/>
      <c r="E26" s="134"/>
      <c r="F26" s="135"/>
      <c r="G26" s="132">
        <v>27</v>
      </c>
      <c r="H26" s="133" t="s">
        <v>263</v>
      </c>
      <c r="I26" s="148">
        <f t="shared" si="0"/>
        <v>0</v>
      </c>
      <c r="J26" s="54" t="s">
        <v>312</v>
      </c>
    </row>
    <row r="27" spans="1:11" ht="45" customHeight="1" x14ac:dyDescent="0.2">
      <c r="A27" s="119"/>
      <c r="B27" s="46" t="s">
        <v>313</v>
      </c>
      <c r="C27" s="115" t="s">
        <v>314</v>
      </c>
      <c r="D27" s="149"/>
      <c r="E27" s="156"/>
      <c r="F27" s="137"/>
      <c r="G27" s="129">
        <v>2</v>
      </c>
      <c r="H27" s="120" t="s">
        <v>242</v>
      </c>
      <c r="I27" s="148">
        <f t="shared" si="0"/>
        <v>0</v>
      </c>
      <c r="J27" s="54" t="s">
        <v>315</v>
      </c>
    </row>
    <row r="28" spans="1:11" ht="22.95" customHeight="1" x14ac:dyDescent="0.2">
      <c r="A28" s="64" t="s">
        <v>126</v>
      </c>
      <c r="B28" s="65"/>
      <c r="C28" s="157" t="s">
        <v>279</v>
      </c>
      <c r="D28" s="150" t="s">
        <v>316</v>
      </c>
      <c r="E28" s="152" t="s">
        <v>27</v>
      </c>
      <c r="F28" s="153" t="s">
        <v>28</v>
      </c>
      <c r="G28" s="154" t="s">
        <v>27</v>
      </c>
      <c r="H28" s="155" t="s">
        <v>28</v>
      </c>
      <c r="I28" s="151">
        <f>SUM(I29:I31)</f>
        <v>0</v>
      </c>
      <c r="J28" s="36"/>
    </row>
    <row r="29" spans="1:11" ht="45.6" customHeight="1" x14ac:dyDescent="0.2">
      <c r="A29" s="116"/>
      <c r="B29" s="46" t="s">
        <v>78</v>
      </c>
      <c r="C29" s="115" t="s">
        <v>272</v>
      </c>
      <c r="D29" s="149"/>
      <c r="E29" s="129"/>
      <c r="F29" s="121" t="s">
        <v>14</v>
      </c>
      <c r="G29" s="129">
        <v>1</v>
      </c>
      <c r="H29" s="121" t="s">
        <v>273</v>
      </c>
      <c r="I29" s="148">
        <f>D29*E29*G29</f>
        <v>0</v>
      </c>
      <c r="J29" s="54"/>
      <c r="K29" s="131"/>
    </row>
    <row r="30" spans="1:11" ht="45.6" customHeight="1" x14ac:dyDescent="0.2">
      <c r="A30" s="124"/>
      <c r="B30" s="46" t="s">
        <v>81</v>
      </c>
      <c r="C30" s="115" t="s">
        <v>274</v>
      </c>
      <c r="D30" s="149"/>
      <c r="E30" s="129"/>
      <c r="F30" s="120" t="s">
        <v>14</v>
      </c>
      <c r="G30" s="129">
        <v>1</v>
      </c>
      <c r="H30" s="120" t="s">
        <v>273</v>
      </c>
      <c r="I30" s="148">
        <f t="shared" si="0"/>
        <v>0</v>
      </c>
      <c r="J30" s="54"/>
    </row>
    <row r="31" spans="1:11" ht="45.6" customHeight="1" x14ac:dyDescent="0.2">
      <c r="A31" s="119"/>
      <c r="B31" s="46" t="s">
        <v>84</v>
      </c>
      <c r="C31" s="117" t="s">
        <v>317</v>
      </c>
      <c r="D31" s="149"/>
      <c r="E31" s="129"/>
      <c r="F31" s="120" t="s">
        <v>14</v>
      </c>
      <c r="G31" s="129">
        <v>1</v>
      </c>
      <c r="H31" s="120" t="s">
        <v>273</v>
      </c>
      <c r="I31" s="148">
        <f t="shared" si="0"/>
        <v>0</v>
      </c>
      <c r="J31" s="54"/>
    </row>
    <row r="32" spans="1:11" ht="26.25" customHeight="1" x14ac:dyDescent="0.2">
      <c r="B32" s="24"/>
      <c r="G32" s="140"/>
      <c r="H32" s="141"/>
      <c r="I32" s="142"/>
    </row>
    <row r="33" spans="1:10" x14ac:dyDescent="0.2">
      <c r="A33" s="159"/>
      <c r="B33" s="24"/>
      <c r="D33" s="158"/>
      <c r="E33" s="158"/>
      <c r="F33" s="158"/>
      <c r="G33" s="158"/>
      <c r="H33" s="158"/>
      <c r="I33" s="158"/>
    </row>
    <row r="34" spans="1:10" x14ac:dyDescent="0.2">
      <c r="A34" s="159"/>
      <c r="B34" s="24"/>
      <c r="D34" s="158"/>
      <c r="E34" s="158"/>
      <c r="F34" s="158"/>
      <c r="G34" s="158"/>
      <c r="H34" s="158"/>
      <c r="I34" s="158"/>
      <c r="J34" s="81"/>
    </row>
    <row r="35" spans="1:10" x14ac:dyDescent="0.2">
      <c r="B35" s="24"/>
      <c r="H35" s="83"/>
      <c r="I35" s="83"/>
      <c r="J35" s="225"/>
    </row>
    <row r="36" spans="1:10" x14ac:dyDescent="0.2">
      <c r="B36" s="24"/>
      <c r="H36" s="86"/>
      <c r="I36" s="86"/>
      <c r="J36" s="225"/>
    </row>
  </sheetData>
  <mergeCells count="1">
    <mergeCell ref="J35:J36"/>
  </mergeCells>
  <phoneticPr fontId="1"/>
  <pageMargins left="0.7" right="0.7"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5:M45"/>
  <sheetViews>
    <sheetView topLeftCell="A19" zoomScale="69" zoomScaleNormal="69" workbookViewId="0">
      <selection activeCell="L59" sqref="L59"/>
    </sheetView>
  </sheetViews>
  <sheetFormatPr defaultRowHeight="14.4" x14ac:dyDescent="0.2"/>
  <cols>
    <col min="1" max="2" width="3.09765625" customWidth="1"/>
    <col min="9" max="9" width="12.5" customWidth="1"/>
    <col min="10" max="10" width="11.69921875" customWidth="1"/>
    <col min="11" max="11" width="14.19921875" customWidth="1"/>
    <col min="12" max="12" width="43.09765625" customWidth="1"/>
    <col min="14" max="14" width="2.59765625" customWidth="1"/>
  </cols>
  <sheetData>
    <row r="5" spans="2:12" ht="20.100000000000001" customHeight="1" x14ac:dyDescent="0.2">
      <c r="B5" s="1" t="s">
        <v>10</v>
      </c>
      <c r="C5" s="1"/>
      <c r="D5" s="1"/>
      <c r="E5" s="1"/>
      <c r="F5" s="1"/>
      <c r="G5" s="1"/>
      <c r="H5" s="1"/>
      <c r="I5" s="3"/>
      <c r="J5" s="3">
        <f>SUM(J8:J11)</f>
        <v>5226000</v>
      </c>
      <c r="K5" t="s">
        <v>11</v>
      </c>
    </row>
    <row r="7" spans="2:12" x14ac:dyDescent="0.2">
      <c r="C7" s="213" t="s">
        <v>12</v>
      </c>
      <c r="D7" s="214"/>
      <c r="E7" s="214"/>
      <c r="F7" s="215"/>
      <c r="G7" s="213" t="s">
        <v>13</v>
      </c>
      <c r="H7" s="215"/>
      <c r="I7" s="7" t="s">
        <v>14</v>
      </c>
      <c r="J7" s="7" t="s">
        <v>15</v>
      </c>
      <c r="K7" s="206" t="s">
        <v>16</v>
      </c>
      <c r="L7" s="206"/>
    </row>
    <row r="8" spans="2:12" x14ac:dyDescent="0.2">
      <c r="C8" s="208" t="s">
        <v>17</v>
      </c>
      <c r="D8" s="209"/>
      <c r="E8" s="209"/>
      <c r="F8" s="210"/>
      <c r="G8" s="211">
        <v>57400</v>
      </c>
      <c r="H8" s="212"/>
      <c r="I8" s="2">
        <v>30</v>
      </c>
      <c r="J8" s="4">
        <f>G8*I8</f>
        <v>1722000</v>
      </c>
      <c r="K8" s="207" t="s">
        <v>18</v>
      </c>
      <c r="L8" s="207"/>
    </row>
    <row r="9" spans="2:12" x14ac:dyDescent="0.2">
      <c r="C9" s="208" t="s">
        <v>19</v>
      </c>
      <c r="D9" s="209"/>
      <c r="E9" s="209"/>
      <c r="F9" s="210"/>
      <c r="G9" s="211">
        <v>51200</v>
      </c>
      <c r="H9" s="212"/>
      <c r="I9" s="2">
        <v>30</v>
      </c>
      <c r="J9" s="4">
        <f>G9*I9</f>
        <v>1536000</v>
      </c>
      <c r="K9" s="207" t="s">
        <v>20</v>
      </c>
      <c r="L9" s="207"/>
    </row>
    <row r="10" spans="2:12" x14ac:dyDescent="0.2">
      <c r="C10" s="208" t="s">
        <v>21</v>
      </c>
      <c r="D10" s="209"/>
      <c r="E10" s="209"/>
      <c r="F10" s="210"/>
      <c r="G10" s="211">
        <v>32800</v>
      </c>
      <c r="H10" s="212"/>
      <c r="I10" s="2">
        <v>30</v>
      </c>
      <c r="J10" s="4">
        <f>G10*I10</f>
        <v>984000</v>
      </c>
      <c r="K10" s="207" t="s">
        <v>22</v>
      </c>
      <c r="L10" s="207"/>
    </row>
    <row r="11" spans="2:12" x14ac:dyDescent="0.2">
      <c r="C11" s="208" t="s">
        <v>23</v>
      </c>
      <c r="D11" s="209"/>
      <c r="E11" s="209"/>
      <c r="F11" s="210"/>
      <c r="G11" s="211">
        <v>32800</v>
      </c>
      <c r="H11" s="212"/>
      <c r="I11" s="2">
        <v>30</v>
      </c>
      <c r="J11" s="4">
        <f>G11*I11</f>
        <v>984000</v>
      </c>
      <c r="K11" s="207" t="s">
        <v>22</v>
      </c>
      <c r="L11" s="207"/>
    </row>
    <row r="12" spans="2:12" x14ac:dyDescent="0.2">
      <c r="C12" t="s">
        <v>24</v>
      </c>
    </row>
    <row r="15" spans="2:12" x14ac:dyDescent="0.2">
      <c r="B15" s="1" t="s">
        <v>25</v>
      </c>
      <c r="C15" s="1"/>
      <c r="D15" s="1"/>
      <c r="E15" s="1"/>
      <c r="F15" s="1"/>
      <c r="G15" s="1"/>
      <c r="H15" s="1"/>
      <c r="I15" s="3"/>
      <c r="J15" s="6">
        <f>SUM(K18:K27)</f>
        <v>5340600</v>
      </c>
      <c r="K15" t="s">
        <v>11</v>
      </c>
    </row>
    <row r="17" spans="2:13" x14ac:dyDescent="0.2">
      <c r="C17" s="206" t="s">
        <v>26</v>
      </c>
      <c r="D17" s="206"/>
      <c r="E17" s="206"/>
      <c r="F17" s="206"/>
      <c r="G17" s="206" t="s">
        <v>13</v>
      </c>
      <c r="H17" s="206"/>
      <c r="I17" s="7" t="s">
        <v>27</v>
      </c>
      <c r="J17" s="7" t="s">
        <v>28</v>
      </c>
      <c r="K17" s="7" t="s">
        <v>29</v>
      </c>
      <c r="L17" s="7" t="s">
        <v>16</v>
      </c>
    </row>
    <row r="18" spans="2:13" ht="33" customHeight="1" x14ac:dyDescent="0.2">
      <c r="C18" s="218" t="s">
        <v>30</v>
      </c>
      <c r="D18" s="218"/>
      <c r="E18" s="218"/>
      <c r="F18" s="218"/>
      <c r="G18" s="219">
        <v>19400</v>
      </c>
      <c r="H18" s="219"/>
      <c r="I18" s="12">
        <v>24</v>
      </c>
      <c r="J18" s="12" t="s">
        <v>31</v>
      </c>
      <c r="K18" s="14">
        <f t="shared" ref="K18:K26" si="0">G18*I18</f>
        <v>465600</v>
      </c>
      <c r="L18" s="15" t="s">
        <v>32</v>
      </c>
      <c r="M18" t="s">
        <v>33</v>
      </c>
    </row>
    <row r="19" spans="2:13" ht="223.5" customHeight="1" x14ac:dyDescent="0.2">
      <c r="C19" s="220" t="s">
        <v>34</v>
      </c>
      <c r="D19" s="220"/>
      <c r="E19" s="220"/>
      <c r="F19" s="220"/>
      <c r="G19" s="219">
        <v>7900</v>
      </c>
      <c r="H19" s="219"/>
      <c r="I19" s="12">
        <v>70</v>
      </c>
      <c r="J19" s="12" t="s">
        <v>31</v>
      </c>
      <c r="K19" s="14">
        <f>G19*I19</f>
        <v>553000</v>
      </c>
      <c r="L19" s="16" t="s">
        <v>35</v>
      </c>
      <c r="M19" s="13" t="s">
        <v>36</v>
      </c>
    </row>
    <row r="20" spans="2:13" ht="43.2" x14ac:dyDescent="0.2">
      <c r="C20" s="218" t="s">
        <v>37</v>
      </c>
      <c r="D20" s="218"/>
      <c r="E20" s="218"/>
      <c r="F20" s="218"/>
      <c r="G20" s="219">
        <v>5500</v>
      </c>
      <c r="H20" s="219"/>
      <c r="I20" s="12">
        <v>100</v>
      </c>
      <c r="J20" s="12" t="s">
        <v>38</v>
      </c>
      <c r="K20" s="14">
        <f t="shared" si="0"/>
        <v>550000</v>
      </c>
      <c r="L20" s="16" t="s">
        <v>39</v>
      </c>
      <c r="M20" t="s">
        <v>33</v>
      </c>
    </row>
    <row r="21" spans="2:13" x14ac:dyDescent="0.2">
      <c r="C21" s="218" t="s">
        <v>40</v>
      </c>
      <c r="D21" s="218"/>
      <c r="E21" s="218"/>
      <c r="F21" s="218"/>
      <c r="G21" s="219">
        <v>10000</v>
      </c>
      <c r="H21" s="207"/>
      <c r="I21" s="12">
        <v>2</v>
      </c>
      <c r="J21" s="12" t="s">
        <v>41</v>
      </c>
      <c r="K21" s="14">
        <f t="shared" si="0"/>
        <v>20000</v>
      </c>
      <c r="L21" s="12"/>
      <c r="M21" t="s">
        <v>33</v>
      </c>
    </row>
    <row r="22" spans="2:13" x14ac:dyDescent="0.2">
      <c r="C22" s="218" t="s">
        <v>42</v>
      </c>
      <c r="D22" s="218"/>
      <c r="E22" s="218"/>
      <c r="F22" s="218"/>
      <c r="G22" s="219">
        <v>2000</v>
      </c>
      <c r="H22" s="207"/>
      <c r="I22" s="12">
        <v>100</v>
      </c>
      <c r="J22" s="12" t="s">
        <v>38</v>
      </c>
      <c r="K22" s="14">
        <f t="shared" si="0"/>
        <v>200000</v>
      </c>
      <c r="L22" s="16" t="s">
        <v>43</v>
      </c>
      <c r="M22" t="s">
        <v>44</v>
      </c>
    </row>
    <row r="23" spans="2:13" ht="57" customHeight="1" x14ac:dyDescent="0.2">
      <c r="C23" s="208" t="s">
        <v>45</v>
      </c>
      <c r="D23" s="209"/>
      <c r="E23" s="209"/>
      <c r="F23" s="210"/>
      <c r="G23" s="216">
        <v>51200</v>
      </c>
      <c r="H23" s="217"/>
      <c r="I23" s="12">
        <v>10</v>
      </c>
      <c r="J23" s="12" t="s">
        <v>46</v>
      </c>
      <c r="K23" s="14">
        <f t="shared" si="0"/>
        <v>512000</v>
      </c>
      <c r="L23" s="16" t="s">
        <v>47</v>
      </c>
    </row>
    <row r="24" spans="2:13" ht="43.2" customHeight="1" x14ac:dyDescent="0.2">
      <c r="C24" s="218" t="s">
        <v>48</v>
      </c>
      <c r="D24" s="218"/>
      <c r="E24" s="218"/>
      <c r="F24" s="218"/>
      <c r="G24" s="219">
        <v>27000</v>
      </c>
      <c r="H24" s="207"/>
      <c r="I24" s="12">
        <v>10</v>
      </c>
      <c r="J24" s="12" t="s">
        <v>46</v>
      </c>
      <c r="K24" s="14">
        <f t="shared" si="0"/>
        <v>270000</v>
      </c>
      <c r="L24" s="16" t="s">
        <v>49</v>
      </c>
    </row>
    <row r="25" spans="2:13" ht="38.700000000000003" customHeight="1" x14ac:dyDescent="0.2">
      <c r="C25" s="218" t="s">
        <v>50</v>
      </c>
      <c r="D25" s="218"/>
      <c r="E25" s="218"/>
      <c r="F25" s="218"/>
      <c r="G25" s="219">
        <v>27000</v>
      </c>
      <c r="H25" s="207"/>
      <c r="I25" s="12">
        <v>10</v>
      </c>
      <c r="J25" s="12" t="s">
        <v>46</v>
      </c>
      <c r="K25" s="14">
        <f t="shared" si="0"/>
        <v>270000</v>
      </c>
      <c r="L25" s="16" t="s">
        <v>51</v>
      </c>
    </row>
    <row r="26" spans="2:13" x14ac:dyDescent="0.2">
      <c r="C26" s="218" t="s">
        <v>52</v>
      </c>
      <c r="D26" s="218"/>
      <c r="E26" s="218"/>
      <c r="F26" s="218"/>
      <c r="G26" s="219">
        <v>10000</v>
      </c>
      <c r="H26" s="207"/>
      <c r="I26" s="12">
        <v>10</v>
      </c>
      <c r="J26" s="12" t="s">
        <v>46</v>
      </c>
      <c r="K26" s="14">
        <f t="shared" si="0"/>
        <v>100000</v>
      </c>
      <c r="L26" s="12"/>
    </row>
    <row r="27" spans="2:13" ht="43.2" x14ac:dyDescent="0.2">
      <c r="C27" s="218" t="s">
        <v>53</v>
      </c>
      <c r="D27" s="218"/>
      <c r="E27" s="218"/>
      <c r="F27" s="218"/>
      <c r="G27" s="219">
        <v>400000</v>
      </c>
      <c r="H27" s="207"/>
      <c r="I27" s="12">
        <v>6</v>
      </c>
      <c r="J27" s="12"/>
      <c r="K27" s="14">
        <f>G27*I27</f>
        <v>2400000</v>
      </c>
      <c r="L27" s="16" t="s">
        <v>54</v>
      </c>
    </row>
    <row r="29" spans="2:13" x14ac:dyDescent="0.2">
      <c r="B29" s="1" t="s">
        <v>55</v>
      </c>
      <c r="C29" s="1"/>
      <c r="D29" s="1"/>
      <c r="E29" s="1"/>
      <c r="F29" s="1"/>
      <c r="G29" s="1"/>
      <c r="H29" s="1"/>
      <c r="I29" s="3"/>
      <c r="J29" s="6">
        <f>J5 * 0.35/0.65</f>
        <v>2814000</v>
      </c>
      <c r="K29" t="s">
        <v>11</v>
      </c>
    </row>
    <row r="31" spans="2:13" x14ac:dyDescent="0.2">
      <c r="C31" t="s">
        <v>56</v>
      </c>
    </row>
    <row r="33" spans="2:12" x14ac:dyDescent="0.2">
      <c r="C33" t="s">
        <v>57</v>
      </c>
      <c r="E33" t="s">
        <v>58</v>
      </c>
      <c r="L33" s="5"/>
    </row>
    <row r="34" spans="2:12" x14ac:dyDescent="0.2">
      <c r="L34" s="5"/>
    </row>
    <row r="36" spans="2:12" x14ac:dyDescent="0.2">
      <c r="B36" s="1" t="s">
        <v>59</v>
      </c>
      <c r="C36" s="1"/>
      <c r="D36" s="1"/>
      <c r="E36" s="1"/>
      <c r="F36" s="1"/>
      <c r="G36" s="1"/>
      <c r="H36" s="1"/>
      <c r="I36" s="3"/>
      <c r="J36" s="6">
        <f>J29 + J15 + J5</f>
        <v>13380600</v>
      </c>
      <c r="K36" t="s">
        <v>11</v>
      </c>
    </row>
    <row r="37" spans="2:12" x14ac:dyDescent="0.2">
      <c r="B37" s="1"/>
      <c r="C37" s="1"/>
      <c r="D37" s="1"/>
      <c r="E37" s="1"/>
      <c r="F37" s="1"/>
      <c r="G37" s="1"/>
      <c r="H37" s="1"/>
      <c r="I37" s="3"/>
      <c r="J37" s="6"/>
    </row>
    <row r="38" spans="2:12" x14ac:dyDescent="0.2">
      <c r="B38" s="1" t="s">
        <v>60</v>
      </c>
      <c r="C38" s="1"/>
      <c r="D38" s="1"/>
      <c r="E38" s="1"/>
      <c r="F38" s="1"/>
      <c r="G38" s="1"/>
      <c r="H38" s="1"/>
      <c r="I38" s="3"/>
      <c r="J38" s="6">
        <f>J36  * 0.1</f>
        <v>1338060</v>
      </c>
      <c r="K38" t="s">
        <v>11</v>
      </c>
    </row>
    <row r="39" spans="2:12" x14ac:dyDescent="0.2">
      <c r="B39" s="1"/>
      <c r="C39" s="1"/>
      <c r="D39" s="1"/>
      <c r="E39" s="1"/>
      <c r="F39" s="1"/>
      <c r="G39" s="1"/>
      <c r="H39" s="1"/>
      <c r="I39" s="3"/>
      <c r="J39" s="6"/>
    </row>
    <row r="40" spans="2:12" x14ac:dyDescent="0.2">
      <c r="B40" s="8" t="s">
        <v>61</v>
      </c>
      <c r="C40" s="8"/>
      <c r="D40" s="8"/>
      <c r="E40" s="8"/>
      <c r="F40" s="8"/>
      <c r="G40" s="8"/>
      <c r="H40" s="8"/>
      <c r="I40" s="9"/>
      <c r="J40" s="10">
        <f>J36 + J38</f>
        <v>14718660</v>
      </c>
      <c r="K40" s="11" t="s">
        <v>11</v>
      </c>
    </row>
    <row r="41" spans="2:12" x14ac:dyDescent="0.2">
      <c r="B41" s="1"/>
      <c r="C41" s="1"/>
      <c r="D41" s="1"/>
      <c r="E41" s="1"/>
      <c r="F41" s="1"/>
      <c r="G41" s="1"/>
      <c r="H41" s="1"/>
      <c r="I41" s="3"/>
      <c r="J41" s="6"/>
    </row>
    <row r="42" spans="2:12" x14ac:dyDescent="0.2">
      <c r="B42" s="1"/>
      <c r="C42" s="1"/>
      <c r="D42" s="1"/>
      <c r="E42" s="1"/>
      <c r="F42" s="1"/>
      <c r="G42" s="1"/>
      <c r="H42" s="1"/>
      <c r="I42" s="3"/>
      <c r="J42" s="6"/>
    </row>
    <row r="43" spans="2:12" x14ac:dyDescent="0.2">
      <c r="C43" t="s">
        <v>33</v>
      </c>
      <c r="D43" t="s">
        <v>62</v>
      </c>
    </row>
    <row r="44" spans="2:12" x14ac:dyDescent="0.2">
      <c r="C44" t="s">
        <v>63</v>
      </c>
      <c r="D44" t="s">
        <v>64</v>
      </c>
    </row>
    <row r="45" spans="2:12" x14ac:dyDescent="0.2">
      <c r="C45" t="s">
        <v>44</v>
      </c>
      <c r="D45" t="s">
        <v>65</v>
      </c>
    </row>
  </sheetData>
  <mergeCells count="37">
    <mergeCell ref="C26:F26"/>
    <mergeCell ref="C17:F17"/>
    <mergeCell ref="C27:F27"/>
    <mergeCell ref="G27:H27"/>
    <mergeCell ref="C11:F11"/>
    <mergeCell ref="G11:H11"/>
    <mergeCell ref="G26:H26"/>
    <mergeCell ref="C19:F19"/>
    <mergeCell ref="G19:H19"/>
    <mergeCell ref="K11:L11"/>
    <mergeCell ref="C23:F23"/>
    <mergeCell ref="G23:H23"/>
    <mergeCell ref="C25:F25"/>
    <mergeCell ref="G25:H25"/>
    <mergeCell ref="G17:H17"/>
    <mergeCell ref="C24:F24"/>
    <mergeCell ref="G24:H24"/>
    <mergeCell ref="C22:F22"/>
    <mergeCell ref="G22:H22"/>
    <mergeCell ref="C21:F21"/>
    <mergeCell ref="G21:H21"/>
    <mergeCell ref="C20:F20"/>
    <mergeCell ref="G20:H20"/>
    <mergeCell ref="C18:F18"/>
    <mergeCell ref="G18:H18"/>
    <mergeCell ref="K7:L7"/>
    <mergeCell ref="K8:L8"/>
    <mergeCell ref="C9:F9"/>
    <mergeCell ref="G9:H9"/>
    <mergeCell ref="C10:F10"/>
    <mergeCell ref="G10:H10"/>
    <mergeCell ref="C7:F7"/>
    <mergeCell ref="C8:F8"/>
    <mergeCell ref="G7:H7"/>
    <mergeCell ref="G8:H8"/>
    <mergeCell ref="K9:L9"/>
    <mergeCell ref="K10:L10"/>
  </mergeCells>
  <phoneticPr fontId="1"/>
  <pageMargins left="0.7" right="0.7" top="0.75" bottom="0.75" header="0.3" footer="0.3"/>
  <pageSetup paperSize="9" scale="52"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40"/>
  <sheetViews>
    <sheetView topLeftCell="A10" zoomScale="85" zoomScaleNormal="85" workbookViewId="0">
      <selection activeCell="C30" sqref="C30"/>
    </sheetView>
  </sheetViews>
  <sheetFormatPr defaultRowHeight="14.4" x14ac:dyDescent="0.2"/>
  <cols>
    <col min="1" max="1" width="16.69921875" customWidth="1"/>
    <col min="2" max="2" width="5.5" bestFit="1" customWidth="1"/>
    <col min="3" max="3" width="37.09765625" customWidth="1"/>
    <col min="4" max="5" width="16.69921875" customWidth="1"/>
    <col min="6" max="6" width="21.19921875" customWidth="1"/>
    <col min="7" max="7" width="18.5" customWidth="1"/>
    <col min="8" max="18" width="0" hidden="1" customWidth="1"/>
    <col min="19" max="19" width="29.19921875" customWidth="1"/>
  </cols>
  <sheetData>
    <row r="1" spans="1:30" ht="23.4" x14ac:dyDescent="0.2">
      <c r="A1" s="23" t="s">
        <v>66</v>
      </c>
      <c r="B1" s="24"/>
      <c r="D1" s="5"/>
      <c r="E1" s="87"/>
      <c r="F1" s="26"/>
      <c r="G1" s="26"/>
      <c r="I1" s="27"/>
      <c r="L1" s="28"/>
      <c r="M1" s="29"/>
      <c r="N1" s="24"/>
      <c r="O1" s="24"/>
      <c r="P1" s="24"/>
      <c r="Q1" s="30"/>
      <c r="R1" s="31"/>
      <c r="S1" s="32">
        <f ca="1">NOW()</f>
        <v>45538.702928356484</v>
      </c>
    </row>
    <row r="2" spans="1:30" ht="15" thickBot="1" x14ac:dyDescent="0.25">
      <c r="A2" t="s">
        <v>67</v>
      </c>
      <c r="D2" s="90" t="s">
        <v>68</v>
      </c>
      <c r="E2" s="33"/>
      <c r="F2" s="33"/>
      <c r="G2" s="33"/>
      <c r="H2" s="33" t="s">
        <v>69</v>
      </c>
      <c r="I2" s="27"/>
      <c r="L2" s="34" t="s">
        <v>70</v>
      </c>
      <c r="M2" s="33" t="s">
        <v>71</v>
      </c>
      <c r="N2" s="33"/>
      <c r="O2" s="33"/>
      <c r="P2" s="33"/>
      <c r="Q2" s="34" t="s">
        <v>72</v>
      </c>
      <c r="R2" s="35" t="s">
        <v>73</v>
      </c>
    </row>
    <row r="3" spans="1:30" x14ac:dyDescent="0.2">
      <c r="A3" s="36" t="s">
        <v>74</v>
      </c>
      <c r="B3" s="37"/>
      <c r="C3" s="38"/>
      <c r="D3" s="91" t="s">
        <v>75</v>
      </c>
      <c r="E3" s="40" t="s">
        <v>76</v>
      </c>
      <c r="F3" s="41" t="s">
        <v>3</v>
      </c>
      <c r="G3" s="42">
        <f>ROUNDDOWN(SUM(G4:G25),-3)</f>
        <v>15764000</v>
      </c>
      <c r="H3" s="39" t="s">
        <v>75</v>
      </c>
      <c r="I3" s="40" t="s">
        <v>76</v>
      </c>
      <c r="J3" s="41" t="s">
        <v>3</v>
      </c>
      <c r="K3" s="43">
        <f>SUM(K4:K20)-600</f>
        <v>76520905</v>
      </c>
      <c r="L3" s="44">
        <f>K3-G3</f>
        <v>60756905</v>
      </c>
      <c r="M3" s="39" t="s">
        <v>75</v>
      </c>
      <c r="N3" s="40" t="s">
        <v>76</v>
      </c>
      <c r="O3" s="41" t="s">
        <v>3</v>
      </c>
      <c r="P3" s="43">
        <f>ROUNDDOWN(SUM(P4:P20),-3)</f>
        <v>74606000</v>
      </c>
      <c r="Q3" s="44">
        <f>P3-K3</f>
        <v>-1914905</v>
      </c>
      <c r="R3" s="45">
        <f t="shared" ref="R3:R33" si="0">P3/K3</f>
        <v>0.97497540051310161</v>
      </c>
      <c r="S3" s="36" t="s">
        <v>77</v>
      </c>
    </row>
    <row r="4" spans="1:30" x14ac:dyDescent="0.2">
      <c r="A4" s="221"/>
      <c r="B4" s="46" t="s">
        <v>78</v>
      </c>
      <c r="C4" s="47" t="s">
        <v>79</v>
      </c>
      <c r="D4" s="92">
        <v>107450</v>
      </c>
      <c r="E4" s="49">
        <v>20</v>
      </c>
      <c r="F4" s="49">
        <v>1</v>
      </c>
      <c r="G4" s="50">
        <f t="shared" ref="G4:G25" si="1">D4*E4*F4</f>
        <v>2149000</v>
      </c>
      <c r="H4" s="55">
        <v>100000</v>
      </c>
      <c r="I4" s="49">
        <v>30</v>
      </c>
      <c r="J4" s="49">
        <v>2</v>
      </c>
      <c r="K4" s="51">
        <f t="shared" ref="K4:K25" si="2">H4*I4*J4</f>
        <v>6000000</v>
      </c>
      <c r="L4" s="52">
        <f t="shared" ref="L4:L34" si="3">K4-G4</f>
        <v>3851000</v>
      </c>
      <c r="M4" s="48">
        <v>140000</v>
      </c>
      <c r="N4" s="49">
        <f>60-7</f>
        <v>53</v>
      </c>
      <c r="O4" s="49">
        <v>1</v>
      </c>
      <c r="P4" s="51">
        <f t="shared" ref="P4:P25" si="4">M4*N4*O4</f>
        <v>7420000</v>
      </c>
      <c r="Q4" s="52">
        <f t="shared" ref="Q4:Q35" si="5">P4-G4</f>
        <v>5271000</v>
      </c>
      <c r="R4" s="53">
        <f t="shared" si="0"/>
        <v>1.2366666666666666</v>
      </c>
      <c r="S4" s="54" t="s">
        <v>80</v>
      </c>
    </row>
    <row r="5" spans="1:30" x14ac:dyDescent="0.2">
      <c r="A5" s="221"/>
      <c r="B5" s="46" t="s">
        <v>81</v>
      </c>
      <c r="C5" s="47" t="s">
        <v>82</v>
      </c>
      <c r="D5" s="93">
        <f>30000*7</f>
        <v>210000</v>
      </c>
      <c r="E5" s="49">
        <v>20</v>
      </c>
      <c r="F5" s="49">
        <v>1</v>
      </c>
      <c r="G5" s="50">
        <f t="shared" si="1"/>
        <v>4200000</v>
      </c>
      <c r="H5" s="55">
        <f>20000*11</f>
        <v>220000</v>
      </c>
      <c r="I5" s="49">
        <v>30</v>
      </c>
      <c r="J5" s="49">
        <v>2</v>
      </c>
      <c r="K5" s="51">
        <f t="shared" si="2"/>
        <v>13200000</v>
      </c>
      <c r="L5" s="52">
        <f t="shared" si="3"/>
        <v>9000000</v>
      </c>
      <c r="M5" s="48">
        <f>40000*11</f>
        <v>440000</v>
      </c>
      <c r="N5" s="49">
        <f>N4</f>
        <v>53</v>
      </c>
      <c r="O5" s="49">
        <v>1</v>
      </c>
      <c r="P5" s="51">
        <f t="shared" si="4"/>
        <v>23320000</v>
      </c>
      <c r="Q5" s="52">
        <f t="shared" si="5"/>
        <v>19120000</v>
      </c>
      <c r="R5" s="53">
        <f t="shared" si="0"/>
        <v>1.7666666666666666</v>
      </c>
      <c r="S5" s="54" t="s">
        <v>83</v>
      </c>
    </row>
    <row r="6" spans="1:30" x14ac:dyDescent="0.2">
      <c r="A6" s="221"/>
      <c r="B6" s="46" t="s">
        <v>84</v>
      </c>
      <c r="C6" s="47" t="s">
        <v>85</v>
      </c>
      <c r="D6" s="92">
        <f>4298*7</f>
        <v>30086</v>
      </c>
      <c r="E6" s="49">
        <v>20</v>
      </c>
      <c r="F6" s="49">
        <v>1</v>
      </c>
      <c r="G6" s="50">
        <f t="shared" si="1"/>
        <v>601720</v>
      </c>
      <c r="H6" s="48">
        <f>9900*12</f>
        <v>118800</v>
      </c>
      <c r="I6" s="49">
        <v>30</v>
      </c>
      <c r="J6" s="49">
        <v>2</v>
      </c>
      <c r="K6" s="51">
        <f t="shared" si="2"/>
        <v>7128000</v>
      </c>
      <c r="L6" s="52">
        <f t="shared" si="3"/>
        <v>6526280</v>
      </c>
      <c r="M6" s="48">
        <f>9900*12</f>
        <v>118800</v>
      </c>
      <c r="N6" s="49">
        <f>N4</f>
        <v>53</v>
      </c>
      <c r="O6" s="49">
        <v>1</v>
      </c>
      <c r="P6" s="51">
        <f t="shared" si="4"/>
        <v>6296400</v>
      </c>
      <c r="Q6" s="52">
        <f t="shared" si="5"/>
        <v>5694680</v>
      </c>
      <c r="R6" s="53">
        <f t="shared" si="0"/>
        <v>0.8833333333333333</v>
      </c>
      <c r="S6" s="54" t="s">
        <v>86</v>
      </c>
    </row>
    <row r="7" spans="1:30" x14ac:dyDescent="0.2">
      <c r="A7" s="221"/>
      <c r="B7" s="46" t="s">
        <v>87</v>
      </c>
      <c r="C7" s="47" t="s">
        <v>88</v>
      </c>
      <c r="D7" s="92">
        <v>126713</v>
      </c>
      <c r="E7" s="49">
        <v>1</v>
      </c>
      <c r="F7" s="49">
        <v>1</v>
      </c>
      <c r="G7" s="50">
        <f t="shared" si="1"/>
        <v>126713</v>
      </c>
      <c r="H7" s="48">
        <f>D7</f>
        <v>126713</v>
      </c>
      <c r="I7" s="49">
        <v>95</v>
      </c>
      <c r="J7" s="49">
        <v>1</v>
      </c>
      <c r="K7" s="51">
        <f t="shared" si="2"/>
        <v>12037735</v>
      </c>
      <c r="L7" s="52">
        <f t="shared" si="3"/>
        <v>11911022</v>
      </c>
      <c r="M7" s="48">
        <f>180000*2/20</f>
        <v>18000</v>
      </c>
      <c r="N7" s="49">
        <v>20</v>
      </c>
      <c r="O7" s="49">
        <v>3</v>
      </c>
      <c r="P7" s="51">
        <f t="shared" si="4"/>
        <v>1080000</v>
      </c>
      <c r="Q7" s="52">
        <f t="shared" si="5"/>
        <v>953287</v>
      </c>
      <c r="R7" s="53">
        <f t="shared" si="0"/>
        <v>8.9717874666621247E-2</v>
      </c>
      <c r="S7" s="54" t="s">
        <v>80</v>
      </c>
    </row>
    <row r="8" spans="1:30" x14ac:dyDescent="0.2">
      <c r="A8" s="221"/>
      <c r="B8" s="46" t="s">
        <v>89</v>
      </c>
      <c r="C8" s="47" t="s">
        <v>90</v>
      </c>
      <c r="D8" s="92">
        <v>30352</v>
      </c>
      <c r="E8" s="49">
        <v>20</v>
      </c>
      <c r="F8" s="49">
        <v>1</v>
      </c>
      <c r="G8" s="50">
        <f t="shared" si="1"/>
        <v>607040</v>
      </c>
      <c r="H8" s="48">
        <v>80000</v>
      </c>
      <c r="I8" s="49">
        <v>95</v>
      </c>
      <c r="J8" s="49">
        <v>1</v>
      </c>
      <c r="K8" s="51">
        <f t="shared" si="2"/>
        <v>7600000</v>
      </c>
      <c r="L8" s="52">
        <f t="shared" si="3"/>
        <v>6992960</v>
      </c>
      <c r="M8" s="48">
        <v>80000</v>
      </c>
      <c r="N8" s="49">
        <v>20</v>
      </c>
      <c r="O8" s="49">
        <v>3</v>
      </c>
      <c r="P8" s="51">
        <f t="shared" si="4"/>
        <v>4800000</v>
      </c>
      <c r="Q8" s="52">
        <f t="shared" si="5"/>
        <v>4192960</v>
      </c>
      <c r="R8" s="53">
        <f t="shared" si="0"/>
        <v>0.63157894736842102</v>
      </c>
      <c r="S8" s="54" t="s">
        <v>80</v>
      </c>
    </row>
    <row r="9" spans="1:30" x14ac:dyDescent="0.2">
      <c r="A9" s="221"/>
      <c r="B9" s="46" t="s">
        <v>91</v>
      </c>
      <c r="C9" s="47" t="s">
        <v>92</v>
      </c>
      <c r="D9" s="92">
        <v>943150</v>
      </c>
      <c r="E9" s="49">
        <v>1</v>
      </c>
      <c r="F9" s="49">
        <v>2</v>
      </c>
      <c r="G9" s="50">
        <f t="shared" si="1"/>
        <v>1886300</v>
      </c>
      <c r="H9" s="48">
        <v>1800000</v>
      </c>
      <c r="I9" s="49">
        <v>1</v>
      </c>
      <c r="J9" s="49">
        <v>3</v>
      </c>
      <c r="K9" s="51">
        <f t="shared" si="2"/>
        <v>5400000</v>
      </c>
      <c r="L9" s="52">
        <f t="shared" si="3"/>
        <v>3513700</v>
      </c>
      <c r="M9" s="48">
        <v>1800000</v>
      </c>
      <c r="N9" s="49">
        <v>1</v>
      </c>
      <c r="O9" s="49">
        <v>3</v>
      </c>
      <c r="P9" s="51">
        <f t="shared" si="4"/>
        <v>5400000</v>
      </c>
      <c r="Q9" s="52">
        <f t="shared" si="5"/>
        <v>3513700</v>
      </c>
      <c r="R9" s="53">
        <f t="shared" si="0"/>
        <v>1</v>
      </c>
      <c r="S9" s="54" t="s">
        <v>80</v>
      </c>
    </row>
    <row r="10" spans="1:30" x14ac:dyDescent="0.2">
      <c r="A10" s="221"/>
      <c r="B10" s="46" t="s">
        <v>93</v>
      </c>
      <c r="C10" s="47" t="s">
        <v>94</v>
      </c>
      <c r="D10" s="92">
        <v>36667</v>
      </c>
      <c r="E10" s="49">
        <v>20</v>
      </c>
      <c r="F10" s="49">
        <v>1</v>
      </c>
      <c r="G10" s="50">
        <f t="shared" si="1"/>
        <v>733340</v>
      </c>
      <c r="H10" s="48">
        <v>8000</v>
      </c>
      <c r="I10" s="49">
        <v>95</v>
      </c>
      <c r="J10" s="49">
        <v>1</v>
      </c>
      <c r="K10" s="51">
        <f t="shared" si="2"/>
        <v>760000</v>
      </c>
      <c r="L10" s="52">
        <f t="shared" si="3"/>
        <v>26660</v>
      </c>
      <c r="M10" s="48">
        <v>8000</v>
      </c>
      <c r="N10" s="49">
        <v>20</v>
      </c>
      <c r="O10" s="49">
        <v>3</v>
      </c>
      <c r="P10" s="51">
        <f t="shared" si="4"/>
        <v>480000</v>
      </c>
      <c r="Q10" s="52">
        <f t="shared" si="5"/>
        <v>-253340</v>
      </c>
      <c r="R10" s="53">
        <f t="shared" si="0"/>
        <v>0.63157894736842102</v>
      </c>
      <c r="S10" s="54" t="s">
        <v>80</v>
      </c>
    </row>
    <row r="11" spans="1:30" x14ac:dyDescent="0.2">
      <c r="A11" s="221"/>
      <c r="B11" s="46" t="s">
        <v>95</v>
      </c>
      <c r="C11" s="47" t="s">
        <v>96</v>
      </c>
      <c r="D11" s="92">
        <v>0</v>
      </c>
      <c r="E11" s="49">
        <v>0</v>
      </c>
      <c r="F11" s="49">
        <v>1</v>
      </c>
      <c r="G11" s="50">
        <f t="shared" si="1"/>
        <v>0</v>
      </c>
      <c r="H11" s="48">
        <v>5000</v>
      </c>
      <c r="I11" s="49">
        <v>1</v>
      </c>
      <c r="J11" s="49">
        <v>3</v>
      </c>
      <c r="K11" s="51">
        <f t="shared" si="2"/>
        <v>15000</v>
      </c>
      <c r="L11" s="52">
        <f t="shared" si="3"/>
        <v>15000</v>
      </c>
      <c r="M11" s="48">
        <v>5000</v>
      </c>
      <c r="N11" s="49">
        <v>1</v>
      </c>
      <c r="O11" s="49">
        <v>3</v>
      </c>
      <c r="P11" s="51">
        <f t="shared" si="4"/>
        <v>15000</v>
      </c>
      <c r="Q11" s="52">
        <f t="shared" si="5"/>
        <v>15000</v>
      </c>
      <c r="R11" s="53">
        <f t="shared" si="0"/>
        <v>1</v>
      </c>
      <c r="S11" s="54"/>
    </row>
    <row r="12" spans="1:30" ht="43.2" x14ac:dyDescent="0.2">
      <c r="A12" s="221"/>
      <c r="B12" s="46" t="s">
        <v>97</v>
      </c>
      <c r="C12" s="47" t="s">
        <v>30</v>
      </c>
      <c r="D12" s="92">
        <v>19400</v>
      </c>
      <c r="E12" s="49">
        <v>24</v>
      </c>
      <c r="F12" s="49">
        <v>1</v>
      </c>
      <c r="G12" s="50">
        <f t="shared" si="1"/>
        <v>465600</v>
      </c>
      <c r="H12" s="48">
        <v>600000</v>
      </c>
      <c r="I12" s="49">
        <v>1</v>
      </c>
      <c r="J12" s="49">
        <v>3</v>
      </c>
      <c r="K12" s="51">
        <f t="shared" si="2"/>
        <v>1800000</v>
      </c>
      <c r="L12" s="52">
        <f t="shared" si="3"/>
        <v>1334400</v>
      </c>
      <c r="M12" s="48">
        <v>600000</v>
      </c>
      <c r="N12" s="49">
        <v>1</v>
      </c>
      <c r="O12" s="49">
        <v>3</v>
      </c>
      <c r="P12" s="51">
        <f t="shared" si="4"/>
        <v>1800000</v>
      </c>
      <c r="Q12" s="52">
        <f t="shared" si="5"/>
        <v>1334400</v>
      </c>
      <c r="R12" s="53">
        <f t="shared" si="0"/>
        <v>1</v>
      </c>
      <c r="S12" s="54" t="s">
        <v>98</v>
      </c>
    </row>
    <row r="13" spans="1:30" x14ac:dyDescent="0.2">
      <c r="A13" s="221"/>
      <c r="B13" s="46" t="s">
        <v>99</v>
      </c>
      <c r="C13" s="47" t="s">
        <v>100</v>
      </c>
      <c r="D13" s="92"/>
      <c r="E13" s="49">
        <v>1</v>
      </c>
      <c r="F13" s="49">
        <v>20</v>
      </c>
      <c r="G13" s="50">
        <f t="shared" si="1"/>
        <v>0</v>
      </c>
      <c r="H13" s="48">
        <v>34000</v>
      </c>
      <c r="I13" s="49">
        <v>1</v>
      </c>
      <c r="J13" s="49">
        <v>3</v>
      </c>
      <c r="K13" s="51">
        <f t="shared" si="2"/>
        <v>102000</v>
      </c>
      <c r="L13" s="52">
        <f t="shared" si="3"/>
        <v>102000</v>
      </c>
      <c r="M13" s="48">
        <v>34000</v>
      </c>
      <c r="N13" s="49">
        <v>1</v>
      </c>
      <c r="O13" s="49">
        <v>3</v>
      </c>
      <c r="P13" s="51">
        <f t="shared" si="4"/>
        <v>102000</v>
      </c>
      <c r="Q13" s="52">
        <f t="shared" si="5"/>
        <v>102000</v>
      </c>
      <c r="R13" s="53">
        <f t="shared" si="0"/>
        <v>1</v>
      </c>
      <c r="S13" s="54" t="s">
        <v>80</v>
      </c>
    </row>
    <row r="14" spans="1:30" x14ac:dyDescent="0.2">
      <c r="A14" s="221"/>
      <c r="B14" s="46" t="s">
        <v>101</v>
      </c>
      <c r="C14" s="47" t="s">
        <v>102</v>
      </c>
      <c r="D14" s="92">
        <v>10000</v>
      </c>
      <c r="E14" s="49">
        <v>1</v>
      </c>
      <c r="F14" s="49">
        <v>2</v>
      </c>
      <c r="G14" s="50">
        <f t="shared" si="1"/>
        <v>20000</v>
      </c>
      <c r="H14" s="48">
        <v>70000</v>
      </c>
      <c r="I14" s="49">
        <v>1</v>
      </c>
      <c r="J14" s="49">
        <v>3</v>
      </c>
      <c r="K14" s="51">
        <f t="shared" si="2"/>
        <v>210000</v>
      </c>
      <c r="L14" s="52">
        <f t="shared" si="3"/>
        <v>190000</v>
      </c>
      <c r="M14" s="48">
        <v>70000</v>
      </c>
      <c r="N14" s="49">
        <v>1</v>
      </c>
      <c r="O14" s="49">
        <v>3</v>
      </c>
      <c r="P14" s="51">
        <f t="shared" si="4"/>
        <v>210000</v>
      </c>
      <c r="Q14" s="52">
        <f t="shared" si="5"/>
        <v>190000</v>
      </c>
      <c r="R14" s="53">
        <f t="shared" si="0"/>
        <v>1</v>
      </c>
      <c r="S14" s="54" t="s">
        <v>103</v>
      </c>
    </row>
    <row r="15" spans="1:30" x14ac:dyDescent="0.2">
      <c r="A15" s="221"/>
      <c r="B15" s="46" t="s">
        <v>104</v>
      </c>
      <c r="C15" s="47" t="s">
        <v>105</v>
      </c>
      <c r="D15" s="92">
        <v>311500</v>
      </c>
      <c r="E15" s="49">
        <v>1</v>
      </c>
      <c r="F15" s="49">
        <v>2</v>
      </c>
      <c r="G15" s="50">
        <f t="shared" si="1"/>
        <v>623000</v>
      </c>
      <c r="H15" s="48">
        <v>1000000</v>
      </c>
      <c r="I15" s="49">
        <v>1</v>
      </c>
      <c r="J15" s="49">
        <v>3</v>
      </c>
      <c r="K15" s="51">
        <f t="shared" si="2"/>
        <v>3000000</v>
      </c>
      <c r="L15" s="52">
        <f t="shared" si="3"/>
        <v>2377000</v>
      </c>
      <c r="M15" s="48">
        <v>1000000</v>
      </c>
      <c r="N15" s="49">
        <v>1</v>
      </c>
      <c r="O15" s="49">
        <v>3</v>
      </c>
      <c r="P15" s="51">
        <f t="shared" si="4"/>
        <v>3000000</v>
      </c>
      <c r="Q15" s="52">
        <f t="shared" si="5"/>
        <v>2377000</v>
      </c>
      <c r="R15" s="53">
        <f t="shared" si="0"/>
        <v>1</v>
      </c>
      <c r="S15" s="54" t="s">
        <v>80</v>
      </c>
    </row>
    <row r="16" spans="1:30" ht="57.6" x14ac:dyDescent="0.2">
      <c r="A16" s="221"/>
      <c r="B16" s="46" t="s">
        <v>106</v>
      </c>
      <c r="C16" s="47" t="s">
        <v>107</v>
      </c>
      <c r="D16" s="92">
        <v>407358</v>
      </c>
      <c r="E16" s="49">
        <v>1</v>
      </c>
      <c r="F16" s="49">
        <v>2</v>
      </c>
      <c r="G16" s="50">
        <f t="shared" si="1"/>
        <v>814716</v>
      </c>
      <c r="H16" s="48">
        <v>1800000</v>
      </c>
      <c r="I16" s="49">
        <v>1</v>
      </c>
      <c r="J16" s="49">
        <v>3</v>
      </c>
      <c r="K16" s="51">
        <f t="shared" si="2"/>
        <v>5400000</v>
      </c>
      <c r="L16" s="52">
        <f t="shared" si="3"/>
        <v>4585284</v>
      </c>
      <c r="M16" s="48">
        <v>1800000</v>
      </c>
      <c r="N16" s="49">
        <v>1</v>
      </c>
      <c r="O16" s="49">
        <v>3</v>
      </c>
      <c r="P16" s="51">
        <f t="shared" si="4"/>
        <v>5400000</v>
      </c>
      <c r="Q16" s="52">
        <f t="shared" si="5"/>
        <v>4585284</v>
      </c>
      <c r="R16" s="53">
        <f t="shared" si="0"/>
        <v>1</v>
      </c>
      <c r="S16" s="54" t="s">
        <v>80</v>
      </c>
      <c r="U16" s="218" t="s">
        <v>48</v>
      </c>
      <c r="V16" s="218"/>
      <c r="W16" s="218"/>
      <c r="X16" s="218"/>
      <c r="Y16" s="219">
        <v>27000</v>
      </c>
      <c r="Z16" s="207"/>
      <c r="AA16" s="12">
        <v>10</v>
      </c>
      <c r="AB16" s="12" t="s">
        <v>46</v>
      </c>
      <c r="AC16" s="14">
        <f>Y16*AA16</f>
        <v>270000</v>
      </c>
      <c r="AD16" s="16" t="s">
        <v>49</v>
      </c>
    </row>
    <row r="17" spans="1:30" ht="72" x14ac:dyDescent="0.2">
      <c r="A17" s="221"/>
      <c r="B17" s="46" t="s">
        <v>108</v>
      </c>
      <c r="C17" s="47" t="s">
        <v>109</v>
      </c>
      <c r="D17" s="92">
        <f>1812600*0.5</f>
        <v>906300</v>
      </c>
      <c r="E17" s="49">
        <v>1</v>
      </c>
      <c r="F17" s="49">
        <v>2</v>
      </c>
      <c r="G17" s="50">
        <f t="shared" si="1"/>
        <v>1812600</v>
      </c>
      <c r="H17" s="48">
        <f>379000+106600+1024800+369800+342000</f>
        <v>2222200</v>
      </c>
      <c r="I17" s="49">
        <v>1</v>
      </c>
      <c r="J17" s="49">
        <v>3</v>
      </c>
      <c r="K17" s="51">
        <f t="shared" si="2"/>
        <v>6666600</v>
      </c>
      <c r="L17" s="52">
        <f t="shared" si="3"/>
        <v>4854000</v>
      </c>
      <c r="M17" s="48">
        <f>379000+106600+1024800+369800+342000</f>
        <v>2222200</v>
      </c>
      <c r="N17" s="49">
        <v>1</v>
      </c>
      <c r="O17" s="49">
        <v>3</v>
      </c>
      <c r="P17" s="51">
        <f t="shared" si="4"/>
        <v>6666600</v>
      </c>
      <c r="Q17" s="52">
        <f t="shared" si="5"/>
        <v>4854000</v>
      </c>
      <c r="R17" s="53">
        <f t="shared" si="0"/>
        <v>1</v>
      </c>
      <c r="S17" s="54" t="s">
        <v>80</v>
      </c>
      <c r="U17" s="218" t="s">
        <v>50</v>
      </c>
      <c r="V17" s="218"/>
      <c r="W17" s="218"/>
      <c r="X17" s="218"/>
      <c r="Y17" s="219">
        <v>27000</v>
      </c>
      <c r="Z17" s="207"/>
      <c r="AA17" s="12">
        <v>10</v>
      </c>
      <c r="AB17" s="12" t="s">
        <v>46</v>
      </c>
      <c r="AC17" s="14">
        <f>Y17*AA17</f>
        <v>270000</v>
      </c>
      <c r="AD17" s="16" t="s">
        <v>51</v>
      </c>
    </row>
    <row r="18" spans="1:30" x14ac:dyDescent="0.2">
      <c r="A18" s="221"/>
      <c r="B18" s="46" t="s">
        <v>110</v>
      </c>
      <c r="C18" s="47" t="s">
        <v>111</v>
      </c>
      <c r="D18" s="92">
        <f>746440*0.5</f>
        <v>373220</v>
      </c>
      <c r="E18" s="49">
        <v>1</v>
      </c>
      <c r="F18" s="49">
        <v>2</v>
      </c>
      <c r="G18" s="50">
        <f t="shared" si="1"/>
        <v>746440</v>
      </c>
      <c r="H18" s="48">
        <f>1152000+800000+400000</f>
        <v>2352000</v>
      </c>
      <c r="I18" s="49">
        <v>1</v>
      </c>
      <c r="J18" s="49">
        <v>3</v>
      </c>
      <c r="K18" s="51">
        <f t="shared" si="2"/>
        <v>7056000</v>
      </c>
      <c r="L18" s="52">
        <f t="shared" si="3"/>
        <v>6309560</v>
      </c>
      <c r="M18" s="48">
        <f>1152000+800000+400000</f>
        <v>2352000</v>
      </c>
      <c r="N18" s="49">
        <v>1</v>
      </c>
      <c r="O18" s="49">
        <v>3</v>
      </c>
      <c r="P18" s="51">
        <f t="shared" si="4"/>
        <v>7056000</v>
      </c>
      <c r="Q18" s="52">
        <f t="shared" si="5"/>
        <v>6309560</v>
      </c>
      <c r="R18" s="53">
        <f t="shared" si="0"/>
        <v>1</v>
      </c>
      <c r="S18" s="54" t="s">
        <v>80</v>
      </c>
      <c r="U18" s="218" t="s">
        <v>52</v>
      </c>
      <c r="V18" s="218"/>
      <c r="W18" s="218"/>
      <c r="X18" s="218"/>
      <c r="Y18" s="219">
        <v>10000</v>
      </c>
      <c r="Z18" s="207"/>
      <c r="AA18" s="12">
        <v>10</v>
      </c>
      <c r="AB18" s="12" t="s">
        <v>46</v>
      </c>
      <c r="AC18" s="14">
        <f>Y18*AA18</f>
        <v>100000</v>
      </c>
      <c r="AD18" s="12"/>
    </row>
    <row r="19" spans="1:30" x14ac:dyDescent="0.2">
      <c r="A19" s="221"/>
      <c r="B19" s="46" t="s">
        <v>112</v>
      </c>
      <c r="C19" s="47" t="s">
        <v>113</v>
      </c>
      <c r="D19" s="92">
        <f>134970*0.5</f>
        <v>67485</v>
      </c>
      <c r="E19" s="49">
        <v>1</v>
      </c>
      <c r="F19" s="49">
        <v>2</v>
      </c>
      <c r="G19" s="50">
        <f>D19*E19*F19</f>
        <v>134970</v>
      </c>
      <c r="H19" s="48">
        <f>G19</f>
        <v>134970</v>
      </c>
      <c r="I19" s="49">
        <v>1</v>
      </c>
      <c r="J19" s="49">
        <v>1</v>
      </c>
      <c r="K19" s="51">
        <f>H19*I19*J19</f>
        <v>134970</v>
      </c>
      <c r="L19" s="52">
        <f>K19-G19</f>
        <v>0</v>
      </c>
      <c r="M19" s="48">
        <f>20000*60+5000*72</f>
        <v>1560000</v>
      </c>
      <c r="N19" s="49">
        <v>1</v>
      </c>
      <c r="O19" s="49">
        <v>1</v>
      </c>
      <c r="P19" s="51">
        <f>M19*N19*O19</f>
        <v>1560000</v>
      </c>
      <c r="Q19" s="52">
        <f>P19-G19</f>
        <v>1425030</v>
      </c>
      <c r="R19" s="53">
        <f>P19/K19</f>
        <v>11.55812402756168</v>
      </c>
      <c r="S19" s="54" t="s">
        <v>80</v>
      </c>
    </row>
    <row r="20" spans="1:30" x14ac:dyDescent="0.2">
      <c r="A20" s="221"/>
      <c r="B20" s="46" t="s">
        <v>114</v>
      </c>
      <c r="C20" s="47" t="s">
        <v>115</v>
      </c>
      <c r="D20" s="92">
        <v>560</v>
      </c>
      <c r="E20" s="49">
        <v>20</v>
      </c>
      <c r="F20" s="49">
        <v>1</v>
      </c>
      <c r="G20" s="50">
        <f t="shared" si="1"/>
        <v>11200</v>
      </c>
      <c r="H20" s="48">
        <f>G20</f>
        <v>11200</v>
      </c>
      <c r="I20" s="49">
        <v>1</v>
      </c>
      <c r="J20" s="49">
        <v>1</v>
      </c>
      <c r="K20" s="51">
        <f t="shared" si="2"/>
        <v>11200</v>
      </c>
      <c r="L20" s="52">
        <f t="shared" si="3"/>
        <v>0</v>
      </c>
      <c r="M20" s="48">
        <v>0</v>
      </c>
      <c r="N20" s="49">
        <v>0</v>
      </c>
      <c r="O20" s="49">
        <v>0</v>
      </c>
      <c r="P20" s="51">
        <f t="shared" si="4"/>
        <v>0</v>
      </c>
      <c r="Q20" s="52">
        <f t="shared" si="5"/>
        <v>-11200</v>
      </c>
      <c r="R20" s="53" t="s">
        <v>116</v>
      </c>
      <c r="S20" s="54" t="s">
        <v>80</v>
      </c>
    </row>
    <row r="21" spans="1:30" ht="24.6" customHeight="1" x14ac:dyDescent="0.2">
      <c r="A21" s="221"/>
      <c r="B21" s="46" t="s">
        <v>117</v>
      </c>
      <c r="C21" s="47" t="s">
        <v>118</v>
      </c>
      <c r="D21" s="92">
        <v>51200</v>
      </c>
      <c r="E21" s="49">
        <v>10</v>
      </c>
      <c r="F21" s="49">
        <v>1</v>
      </c>
      <c r="G21" s="50">
        <f t="shared" si="1"/>
        <v>512000</v>
      </c>
      <c r="H21" s="48"/>
      <c r="I21" s="49"/>
      <c r="J21" s="49"/>
      <c r="K21" s="51"/>
      <c r="L21" s="52"/>
      <c r="M21" s="48"/>
      <c r="N21" s="49"/>
      <c r="O21" s="49"/>
      <c r="P21" s="51"/>
      <c r="Q21" s="52"/>
      <c r="R21" s="53"/>
      <c r="S21" s="54" t="s">
        <v>119</v>
      </c>
    </row>
    <row r="22" spans="1:30" ht="24.6" customHeight="1" x14ac:dyDescent="0.2">
      <c r="A22" s="221"/>
      <c r="B22" s="46" t="s">
        <v>120</v>
      </c>
      <c r="C22" s="47" t="s">
        <v>121</v>
      </c>
      <c r="D22" s="92">
        <v>27000</v>
      </c>
      <c r="E22" s="49">
        <v>5</v>
      </c>
      <c r="F22" s="49">
        <v>1</v>
      </c>
      <c r="G22" s="50">
        <f t="shared" si="1"/>
        <v>135000</v>
      </c>
      <c r="H22" s="48"/>
      <c r="I22" s="49"/>
      <c r="J22" s="49"/>
      <c r="K22" s="51"/>
      <c r="L22" s="52"/>
      <c r="M22" s="48"/>
      <c r="N22" s="49"/>
      <c r="O22" s="49"/>
      <c r="P22" s="51"/>
      <c r="Q22" s="52"/>
      <c r="R22" s="53"/>
      <c r="S22" s="54"/>
    </row>
    <row r="23" spans="1:30" ht="24.6" customHeight="1" x14ac:dyDescent="0.2">
      <c r="A23" s="221"/>
      <c r="B23" s="46" t="s">
        <v>122</v>
      </c>
      <c r="C23" s="47" t="s">
        <v>121</v>
      </c>
      <c r="D23" s="92">
        <v>27000</v>
      </c>
      <c r="E23" s="49">
        <v>5</v>
      </c>
      <c r="F23" s="49">
        <v>1</v>
      </c>
      <c r="G23" s="50">
        <f t="shared" si="1"/>
        <v>135000</v>
      </c>
      <c r="H23" s="48"/>
      <c r="I23" s="49"/>
      <c r="J23" s="49"/>
      <c r="K23" s="51"/>
      <c r="L23" s="52"/>
      <c r="M23" s="48"/>
      <c r="N23" s="49"/>
      <c r="O23" s="49"/>
      <c r="P23" s="51"/>
      <c r="Q23" s="52"/>
      <c r="R23" s="53"/>
      <c r="S23" s="54"/>
    </row>
    <row r="24" spans="1:30" ht="24.6" customHeight="1" x14ac:dyDescent="0.2">
      <c r="A24" s="221"/>
      <c r="B24" s="46" t="s">
        <v>123</v>
      </c>
      <c r="C24" s="47" t="s">
        <v>124</v>
      </c>
      <c r="D24" s="92">
        <v>10000</v>
      </c>
      <c r="E24" s="49">
        <v>5</v>
      </c>
      <c r="F24" s="49">
        <v>1</v>
      </c>
      <c r="G24" s="50">
        <f t="shared" si="1"/>
        <v>50000</v>
      </c>
      <c r="H24" s="48"/>
      <c r="I24" s="49"/>
      <c r="J24" s="49"/>
      <c r="K24" s="51"/>
      <c r="L24" s="52"/>
      <c r="M24" s="48"/>
      <c r="N24" s="49"/>
      <c r="O24" s="49"/>
      <c r="P24" s="51"/>
      <c r="Q24" s="52"/>
      <c r="R24" s="53"/>
      <c r="S24" s="54"/>
    </row>
    <row r="25" spans="1:30" x14ac:dyDescent="0.2">
      <c r="A25" s="221"/>
      <c r="B25" s="46"/>
      <c r="C25" s="47" t="s">
        <v>125</v>
      </c>
      <c r="D25" s="92"/>
      <c r="E25" s="49"/>
      <c r="F25" s="49"/>
      <c r="G25" s="50">
        <f t="shared" si="1"/>
        <v>0</v>
      </c>
      <c r="H25" s="48"/>
      <c r="I25" s="49"/>
      <c r="J25" s="49"/>
      <c r="K25" s="51">
        <f t="shared" si="2"/>
        <v>0</v>
      </c>
      <c r="L25" s="52">
        <f t="shared" si="3"/>
        <v>0</v>
      </c>
      <c r="M25" s="48"/>
      <c r="N25" s="49"/>
      <c r="O25" s="49"/>
      <c r="P25" s="51">
        <f t="shared" si="4"/>
        <v>0</v>
      </c>
      <c r="Q25" s="52">
        <f t="shared" si="5"/>
        <v>0</v>
      </c>
      <c r="R25" s="53" t="e">
        <f t="shared" si="0"/>
        <v>#DIV/0!</v>
      </c>
      <c r="S25" s="56"/>
    </row>
    <row r="26" spans="1:30" x14ac:dyDescent="0.2">
      <c r="A26" s="64" t="s">
        <v>126</v>
      </c>
      <c r="B26" s="65"/>
      <c r="C26" s="38"/>
      <c r="D26" s="94" t="s">
        <v>75</v>
      </c>
      <c r="E26" s="57" t="s">
        <v>127</v>
      </c>
      <c r="F26" s="66">
        <f>SUM(E27:E29)</f>
        <v>90</v>
      </c>
      <c r="G26" s="58">
        <f>ROUNDDOWN(SUM(G27:G29),-3)</f>
        <v>4242000</v>
      </c>
      <c r="H26" s="61" t="s">
        <v>75</v>
      </c>
      <c r="I26" s="57" t="s">
        <v>128</v>
      </c>
      <c r="J26" s="66">
        <f>SUM(I27:I29)</f>
        <v>24.34</v>
      </c>
      <c r="K26" s="59">
        <f>SUM(K27:K29)-500</f>
        <v>22618700</v>
      </c>
      <c r="L26" s="60">
        <f t="shared" si="3"/>
        <v>18376700</v>
      </c>
      <c r="M26" s="61" t="s">
        <v>129</v>
      </c>
      <c r="N26" s="57" t="s">
        <v>127</v>
      </c>
      <c r="O26" s="66">
        <f>SUM(N27:N29)</f>
        <v>490</v>
      </c>
      <c r="P26" s="59">
        <f>ROUNDDOWN(SUM(P27:P29),-3)</f>
        <v>22792000</v>
      </c>
      <c r="Q26" s="60">
        <f t="shared" si="5"/>
        <v>18550000</v>
      </c>
      <c r="R26" s="45">
        <f t="shared" si="0"/>
        <v>1.007661801960325</v>
      </c>
      <c r="S26" s="36" t="s">
        <v>77</v>
      </c>
    </row>
    <row r="27" spans="1:30" x14ac:dyDescent="0.2">
      <c r="A27" s="222"/>
      <c r="B27" s="46" t="s">
        <v>78</v>
      </c>
      <c r="C27" s="47" t="s">
        <v>130</v>
      </c>
      <c r="D27" s="92">
        <v>57400</v>
      </c>
      <c r="E27" s="67">
        <v>30</v>
      </c>
      <c r="F27" s="68"/>
      <c r="G27" s="50">
        <f>D27*E27</f>
        <v>1722000</v>
      </c>
      <c r="H27" s="48">
        <v>1234000</v>
      </c>
      <c r="I27" s="67">
        <v>5.17</v>
      </c>
      <c r="J27" s="49" t="s">
        <v>131</v>
      </c>
      <c r="K27" s="51">
        <f>H27*I27</f>
        <v>6379780</v>
      </c>
      <c r="L27" s="52">
        <f t="shared" si="3"/>
        <v>4657780</v>
      </c>
      <c r="M27" s="48">
        <v>61700</v>
      </c>
      <c r="N27" s="67">
        <v>105</v>
      </c>
      <c r="O27" s="49" t="s">
        <v>132</v>
      </c>
      <c r="P27" s="51">
        <f>M27*N27</f>
        <v>6478500</v>
      </c>
      <c r="Q27" s="52">
        <f t="shared" si="5"/>
        <v>4756500</v>
      </c>
      <c r="R27" s="53">
        <f t="shared" si="0"/>
        <v>1.0154738878143132</v>
      </c>
      <c r="S27" s="54" t="s">
        <v>133</v>
      </c>
    </row>
    <row r="28" spans="1:30" x14ac:dyDescent="0.2">
      <c r="A28" s="223"/>
      <c r="B28" s="46" t="s">
        <v>134</v>
      </c>
      <c r="C28" s="47" t="s">
        <v>135</v>
      </c>
      <c r="D28" s="92">
        <v>51200</v>
      </c>
      <c r="E28" s="67">
        <v>30</v>
      </c>
      <c r="F28" s="49"/>
      <c r="G28" s="50">
        <f>D28*E28</f>
        <v>1536000</v>
      </c>
      <c r="H28" s="48">
        <v>926000</v>
      </c>
      <c r="I28" s="67">
        <v>10.17</v>
      </c>
      <c r="J28" s="49" t="s">
        <v>136</v>
      </c>
      <c r="K28" s="51">
        <f>H28*I28</f>
        <v>9417420</v>
      </c>
      <c r="L28" s="52">
        <f t="shared" si="3"/>
        <v>7881420</v>
      </c>
      <c r="M28" s="48">
        <v>46300</v>
      </c>
      <c r="N28" s="67">
        <v>205</v>
      </c>
      <c r="O28" s="49" t="s">
        <v>137</v>
      </c>
      <c r="P28" s="51">
        <f>M28*N28</f>
        <v>9491500</v>
      </c>
      <c r="Q28" s="52">
        <f t="shared" si="5"/>
        <v>7955500</v>
      </c>
      <c r="R28" s="53">
        <f t="shared" si="0"/>
        <v>1.0078662733529991</v>
      </c>
      <c r="S28" s="54" t="s">
        <v>133</v>
      </c>
    </row>
    <row r="29" spans="1:30" x14ac:dyDescent="0.2">
      <c r="A29" s="223"/>
      <c r="B29" s="46" t="s">
        <v>138</v>
      </c>
      <c r="C29" s="47" t="s">
        <v>139</v>
      </c>
      <c r="D29" s="92">
        <v>32800</v>
      </c>
      <c r="E29" s="67">
        <v>30</v>
      </c>
      <c r="F29" s="49"/>
      <c r="G29" s="50">
        <f>D29*E29</f>
        <v>984000</v>
      </c>
      <c r="H29" s="48">
        <v>758000</v>
      </c>
      <c r="I29" s="67">
        <v>9</v>
      </c>
      <c r="J29" s="49" t="s">
        <v>140</v>
      </c>
      <c r="K29" s="51">
        <f>H29*I29</f>
        <v>6822000</v>
      </c>
      <c r="L29" s="52">
        <f t="shared" si="3"/>
        <v>5838000</v>
      </c>
      <c r="M29" s="48">
        <v>37900</v>
      </c>
      <c r="N29" s="67">
        <v>180</v>
      </c>
      <c r="O29" s="49" t="s">
        <v>140</v>
      </c>
      <c r="P29" s="51">
        <f>M29*N29</f>
        <v>6822000</v>
      </c>
      <c r="Q29" s="52">
        <f t="shared" si="5"/>
        <v>5838000</v>
      </c>
      <c r="R29" s="53">
        <f t="shared" si="0"/>
        <v>1</v>
      </c>
      <c r="S29" s="54" t="s">
        <v>133</v>
      </c>
    </row>
    <row r="30" spans="1:30" x14ac:dyDescent="0.2">
      <c r="A30" s="64" t="s">
        <v>141</v>
      </c>
      <c r="B30" s="69"/>
      <c r="C30" s="38" t="s">
        <v>142</v>
      </c>
      <c r="D30" s="95"/>
      <c r="E30" s="59"/>
      <c r="F30" s="62"/>
      <c r="G30" s="58">
        <f>ROUNDDOWN((G31+G32),-3)</f>
        <v>4963000</v>
      </c>
      <c r="H30" s="70"/>
      <c r="I30" s="59"/>
      <c r="J30" s="62"/>
      <c r="K30" s="59">
        <f>K31+K32</f>
        <v>32147000</v>
      </c>
      <c r="L30" s="60">
        <f t="shared" si="3"/>
        <v>27184000</v>
      </c>
      <c r="M30" s="70"/>
      <c r="N30" s="59"/>
      <c r="O30" s="62"/>
      <c r="P30" s="59">
        <f>ROUNDDOWN((P31+P32),-3)</f>
        <v>26665000</v>
      </c>
      <c r="Q30" s="60">
        <f t="shared" si="5"/>
        <v>21702000</v>
      </c>
      <c r="R30" s="45">
        <f t="shared" si="0"/>
        <v>0.8294708681992099</v>
      </c>
      <c r="S30" s="36" t="s">
        <v>143</v>
      </c>
    </row>
    <row r="31" spans="1:30" x14ac:dyDescent="0.2">
      <c r="A31" s="71"/>
      <c r="B31" s="46"/>
      <c r="C31" s="47" t="s">
        <v>144</v>
      </c>
      <c r="D31" s="92" t="s">
        <v>145</v>
      </c>
      <c r="E31" s="49"/>
      <c r="F31" s="49"/>
      <c r="G31" s="51">
        <f>ROUNDDOWN(G26*0.55,-3)</f>
        <v>2333000</v>
      </c>
      <c r="H31" s="48" t="s">
        <v>145</v>
      </c>
      <c r="I31" s="49"/>
      <c r="J31" s="49"/>
      <c r="K31" s="51">
        <v>15112000</v>
      </c>
      <c r="L31" s="52">
        <f t="shared" si="3"/>
        <v>12779000</v>
      </c>
      <c r="M31" s="48" t="s">
        <v>145</v>
      </c>
      <c r="N31" s="49"/>
      <c r="O31" s="49"/>
      <c r="P31" s="51">
        <f>ROUNDDOWN(P26*0.55,-3)</f>
        <v>12535000</v>
      </c>
      <c r="Q31" s="52">
        <f t="shared" si="5"/>
        <v>10202000</v>
      </c>
      <c r="R31" s="53">
        <f t="shared" si="0"/>
        <v>0.82947326627845419</v>
      </c>
      <c r="S31" s="54"/>
    </row>
    <row r="32" spans="1:30" x14ac:dyDescent="0.2">
      <c r="A32" s="71"/>
      <c r="B32" s="46"/>
      <c r="C32" s="47" t="s">
        <v>146</v>
      </c>
      <c r="D32" s="92" t="s">
        <v>147</v>
      </c>
      <c r="E32" s="49"/>
      <c r="F32" s="49"/>
      <c r="G32" s="51">
        <f>ROUNDDOWN((G26+G31)*0.4,-3)</f>
        <v>2630000</v>
      </c>
      <c r="H32" s="48" t="s">
        <v>147</v>
      </c>
      <c r="I32" s="49"/>
      <c r="J32" s="49"/>
      <c r="K32" s="51">
        <v>17035000</v>
      </c>
      <c r="L32" s="52">
        <f t="shared" si="3"/>
        <v>14405000</v>
      </c>
      <c r="M32" s="48" t="s">
        <v>147</v>
      </c>
      <c r="N32" s="49"/>
      <c r="O32" s="49"/>
      <c r="P32" s="51">
        <f>ROUNDDOWN((P26+P31)*0.4,-3)</f>
        <v>14130000</v>
      </c>
      <c r="Q32" s="52">
        <f t="shared" si="5"/>
        <v>11500000</v>
      </c>
      <c r="R32" s="53">
        <f t="shared" si="0"/>
        <v>0.82946874082770761</v>
      </c>
      <c r="S32" s="54"/>
    </row>
    <row r="33" spans="1:19" x14ac:dyDescent="0.2">
      <c r="A33" s="64" t="s">
        <v>148</v>
      </c>
      <c r="B33" s="69"/>
      <c r="C33" s="72" t="s">
        <v>149</v>
      </c>
      <c r="D33" s="95"/>
      <c r="E33" s="59"/>
      <c r="F33" s="59"/>
      <c r="G33" s="58">
        <f>(G3+G26+G30)*0.1</f>
        <v>2496900</v>
      </c>
      <c r="H33" s="70"/>
      <c r="I33" s="59"/>
      <c r="J33" s="59"/>
      <c r="K33" s="59" t="e">
        <f>(K3+#REF!+#REF!+K26+K30-#REF!)*0.08</f>
        <v>#REF!</v>
      </c>
      <c r="L33" s="60" t="e">
        <f t="shared" si="3"/>
        <v>#REF!</v>
      </c>
      <c r="M33" s="70"/>
      <c r="N33" s="59"/>
      <c r="O33" s="38" t="s">
        <v>150</v>
      </c>
      <c r="P33" s="59" t="e">
        <f>(P3+#REF!+#REF!+P26+P30)*0.08</f>
        <v>#REF!</v>
      </c>
      <c r="Q33" s="60" t="e">
        <f t="shared" si="5"/>
        <v>#REF!</v>
      </c>
      <c r="R33" s="45" t="e">
        <f t="shared" si="0"/>
        <v>#REF!</v>
      </c>
      <c r="S33" s="36"/>
    </row>
    <row r="34" spans="1:19" x14ac:dyDescent="0.2">
      <c r="A34" s="71"/>
      <c r="B34" s="46"/>
      <c r="C34" s="47"/>
      <c r="D34" s="92"/>
      <c r="E34" s="49"/>
      <c r="F34" s="49"/>
      <c r="G34" s="50"/>
      <c r="H34" s="48"/>
      <c r="I34" s="49"/>
      <c r="J34" s="49"/>
      <c r="K34" s="51"/>
      <c r="L34" s="52">
        <f t="shared" si="3"/>
        <v>0</v>
      </c>
      <c r="M34" s="48"/>
      <c r="N34" s="49"/>
      <c r="O34" s="49"/>
      <c r="P34" s="51"/>
      <c r="Q34" s="52">
        <f t="shared" si="5"/>
        <v>0</v>
      </c>
      <c r="R34" s="53"/>
      <c r="S34" s="63" t="s">
        <v>151</v>
      </c>
    </row>
    <row r="35" spans="1:19" ht="15" thickBot="1" x14ac:dyDescent="0.25">
      <c r="A35" s="36"/>
      <c r="B35" s="25"/>
      <c r="C35" s="88"/>
      <c r="D35" s="96"/>
      <c r="E35" s="74"/>
      <c r="F35" s="74"/>
      <c r="G35" s="75">
        <f>G3+G26+G30+G33</f>
        <v>27465900</v>
      </c>
      <c r="H35" s="73"/>
      <c r="I35" s="74"/>
      <c r="J35" s="74"/>
      <c r="K35" s="76" t="e">
        <f>K3+#REF!+#REF!+K26+K30+K33</f>
        <v>#REF!</v>
      </c>
      <c r="L35" s="77" t="e">
        <f>K35-G35</f>
        <v>#REF!</v>
      </c>
      <c r="M35" s="73"/>
      <c r="N35" s="74"/>
      <c r="O35" s="74"/>
      <c r="P35" s="76" t="e">
        <f>P3+#REF!+#REF!+P26+P30+P33</f>
        <v>#REF!</v>
      </c>
      <c r="Q35" s="77" t="e">
        <f t="shared" si="5"/>
        <v>#REF!</v>
      </c>
      <c r="R35" s="45" t="e">
        <f>P35/K35</f>
        <v>#REF!</v>
      </c>
      <c r="S35" s="78"/>
    </row>
    <row r="36" spans="1:19" x14ac:dyDescent="0.2">
      <c r="B36" s="24"/>
      <c r="D36" s="5"/>
      <c r="I36" s="27"/>
      <c r="L36" s="28"/>
      <c r="Q36" s="28"/>
      <c r="R36" s="79"/>
    </row>
    <row r="37" spans="1:19" x14ac:dyDescent="0.2">
      <c r="B37" s="24"/>
      <c r="C37" s="224" t="s">
        <v>152</v>
      </c>
      <c r="D37" s="224"/>
      <c r="E37" s="224"/>
      <c r="F37" s="224"/>
      <c r="G37" s="224"/>
      <c r="I37" s="27"/>
      <c r="L37" s="28"/>
      <c r="Q37" s="28"/>
      <c r="R37" s="79"/>
    </row>
    <row r="38" spans="1:19" x14ac:dyDescent="0.2">
      <c r="B38" s="24"/>
      <c r="C38" s="224"/>
      <c r="D38" s="224"/>
      <c r="E38" s="224"/>
      <c r="F38" s="224"/>
      <c r="G38" s="224"/>
      <c r="I38" s="27"/>
      <c r="L38" s="80"/>
      <c r="O38" s="81"/>
      <c r="P38" s="81"/>
      <c r="Q38" s="80"/>
      <c r="R38" s="82"/>
      <c r="S38" s="81"/>
    </row>
    <row r="39" spans="1:19" x14ac:dyDescent="0.2">
      <c r="B39" s="24"/>
      <c r="D39" s="5"/>
      <c r="F39" s="83"/>
      <c r="G39" s="83">
        <f>G35*(1-0.36)</f>
        <v>17578176</v>
      </c>
      <c r="I39" s="27"/>
      <c r="L39" s="84"/>
      <c r="O39" s="83"/>
      <c r="P39" s="83"/>
      <c r="Q39" s="84"/>
      <c r="R39" s="85"/>
      <c r="S39" s="225"/>
    </row>
    <row r="40" spans="1:19" x14ac:dyDescent="0.2">
      <c r="B40" s="24"/>
      <c r="D40" s="5"/>
      <c r="F40" s="86"/>
      <c r="G40" s="86"/>
      <c r="I40" s="27"/>
      <c r="L40" s="30"/>
      <c r="O40" s="86"/>
      <c r="P40" s="86"/>
      <c r="Q40" s="30"/>
      <c r="R40" s="31"/>
      <c r="S40" s="225"/>
    </row>
  </sheetData>
  <mergeCells count="10">
    <mergeCell ref="Y16:Z16"/>
    <mergeCell ref="U17:X17"/>
    <mergeCell ref="Y17:Z17"/>
    <mergeCell ref="U18:X18"/>
    <mergeCell ref="Y18:Z18"/>
    <mergeCell ref="A4:A25"/>
    <mergeCell ref="A27:A29"/>
    <mergeCell ref="C37:G38"/>
    <mergeCell ref="S39:S40"/>
    <mergeCell ref="U16:X16"/>
  </mergeCells>
  <phoneticPr fontId="1"/>
  <pageMargins left="0.7" right="0.7" top="0.75" bottom="0.75" header="0.3" footer="0.3"/>
  <pageSetup paperSize="9" orientation="portrait" horizontalDpi="4294967292"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7"/>
  <sheetViews>
    <sheetView topLeftCell="B1" zoomScale="85" zoomScaleNormal="85" workbookViewId="0">
      <selection activeCell="G4" sqref="G4"/>
    </sheetView>
  </sheetViews>
  <sheetFormatPr defaultRowHeight="14.4" x14ac:dyDescent="0.2"/>
  <cols>
    <col min="1" max="1" width="16.69921875" customWidth="1"/>
    <col min="2" max="2" width="5.5" bestFit="1" customWidth="1"/>
    <col min="3" max="3" width="37.09765625" customWidth="1"/>
    <col min="4" max="4" width="16.69921875" style="5" customWidth="1"/>
    <col min="5" max="5" width="16.69921875" customWidth="1"/>
    <col min="6" max="6" width="21.19921875" customWidth="1"/>
    <col min="7" max="7" width="18.5" customWidth="1"/>
    <col min="8" max="18" width="0" hidden="1" customWidth="1"/>
    <col min="19" max="19" width="29.19921875" customWidth="1"/>
    <col min="31" max="31" width="16.19921875" customWidth="1"/>
  </cols>
  <sheetData>
    <row r="1" spans="1:19" ht="23.4" x14ac:dyDescent="0.2">
      <c r="A1" s="23" t="s">
        <v>66</v>
      </c>
      <c r="B1" s="24"/>
      <c r="E1" s="87"/>
      <c r="F1" s="26"/>
      <c r="G1" s="26"/>
      <c r="I1" s="27"/>
      <c r="L1" s="28"/>
      <c r="M1" s="29"/>
      <c r="N1" s="24"/>
      <c r="O1" s="24"/>
      <c r="P1" s="24"/>
      <c r="Q1" s="30"/>
      <c r="R1" s="31"/>
      <c r="S1" s="32">
        <f ca="1">NOW()</f>
        <v>45538.702928356484</v>
      </c>
    </row>
    <row r="2" spans="1:19" ht="15" thickBot="1" x14ac:dyDescent="0.25">
      <c r="A2" t="s">
        <v>67</v>
      </c>
      <c r="D2" s="90" t="s">
        <v>68</v>
      </c>
      <c r="E2" s="33"/>
      <c r="F2" s="33"/>
      <c r="G2" s="33"/>
      <c r="H2" s="33" t="s">
        <v>69</v>
      </c>
      <c r="I2" s="27"/>
      <c r="L2" s="34" t="s">
        <v>70</v>
      </c>
      <c r="M2" s="33" t="s">
        <v>71</v>
      </c>
      <c r="N2" s="33"/>
      <c r="O2" s="33"/>
      <c r="P2" s="33"/>
      <c r="Q2" s="34" t="s">
        <v>72</v>
      </c>
      <c r="R2" s="35" t="s">
        <v>73</v>
      </c>
    </row>
    <row r="3" spans="1:19" x14ac:dyDescent="0.2">
      <c r="A3" s="36" t="s">
        <v>74</v>
      </c>
      <c r="B3" s="37"/>
      <c r="C3" s="38"/>
      <c r="D3" s="91" t="s">
        <v>75</v>
      </c>
      <c r="E3" s="40" t="s">
        <v>76</v>
      </c>
      <c r="F3" s="41" t="s">
        <v>3</v>
      </c>
      <c r="G3" s="42">
        <f>ROUNDDOWN(SUM(G4:G20),-3)</f>
        <v>21056000</v>
      </c>
      <c r="H3" s="39" t="s">
        <v>75</v>
      </c>
      <c r="I3" s="40" t="s">
        <v>76</v>
      </c>
      <c r="J3" s="41" t="s">
        <v>3</v>
      </c>
      <c r="K3" s="43">
        <f>SUM(K4:K20)-600</f>
        <v>76655872.222222224</v>
      </c>
      <c r="L3" s="44">
        <f>K3-G3</f>
        <v>55599872.222222224</v>
      </c>
      <c r="M3" s="39" t="s">
        <v>75</v>
      </c>
      <c r="N3" s="40" t="s">
        <v>76</v>
      </c>
      <c r="O3" s="41" t="s">
        <v>3</v>
      </c>
      <c r="P3" s="43">
        <f>ROUNDDOWN(SUM(P4:P20),-3)</f>
        <v>74606000</v>
      </c>
      <c r="Q3" s="44">
        <f>P3-K3</f>
        <v>-2049872.2222222239</v>
      </c>
      <c r="R3" s="45">
        <f t="shared" ref="R3:R30" si="0">P3/K3</f>
        <v>0.97325877114437198</v>
      </c>
      <c r="S3" s="36" t="s">
        <v>77</v>
      </c>
    </row>
    <row r="4" spans="1:19" x14ac:dyDescent="0.2">
      <c r="A4" s="221"/>
      <c r="B4" s="46" t="s">
        <v>78</v>
      </c>
      <c r="C4" s="47" t="s">
        <v>79</v>
      </c>
      <c r="D4" s="92">
        <v>107450</v>
      </c>
      <c r="E4" s="49">
        <v>20</v>
      </c>
      <c r="F4" s="49">
        <v>1</v>
      </c>
      <c r="G4" s="50">
        <f t="shared" ref="G4:G22" si="1">D4*E4*F4</f>
        <v>2149000</v>
      </c>
      <c r="H4" s="55">
        <v>100000</v>
      </c>
      <c r="I4" s="49">
        <v>30</v>
      </c>
      <c r="J4" s="49">
        <v>2</v>
      </c>
      <c r="K4" s="51">
        <f t="shared" ref="K4:K22" si="2">H4*I4*J4</f>
        <v>6000000</v>
      </c>
      <c r="L4" s="52">
        <f t="shared" ref="L4:L31" si="3">K4-G4</f>
        <v>3851000</v>
      </c>
      <c r="M4" s="48">
        <v>140000</v>
      </c>
      <c r="N4" s="49">
        <f>60-7</f>
        <v>53</v>
      </c>
      <c r="O4" s="49">
        <v>1</v>
      </c>
      <c r="P4" s="51">
        <f t="shared" ref="P4:P22" si="4">M4*N4*O4</f>
        <v>7420000</v>
      </c>
      <c r="Q4" s="52">
        <f t="shared" ref="Q4:Q32" si="5">P4-G4</f>
        <v>5271000</v>
      </c>
      <c r="R4" s="53">
        <f t="shared" si="0"/>
        <v>1.2366666666666666</v>
      </c>
      <c r="S4" s="54" t="s">
        <v>80</v>
      </c>
    </row>
    <row r="5" spans="1:19" x14ac:dyDescent="0.2">
      <c r="A5" s="221"/>
      <c r="B5" s="46" t="s">
        <v>81</v>
      </c>
      <c r="C5" s="47" t="s">
        <v>82</v>
      </c>
      <c r="D5" s="93">
        <f>30000*12</f>
        <v>360000</v>
      </c>
      <c r="E5" s="49">
        <v>20</v>
      </c>
      <c r="F5" s="49">
        <v>1</v>
      </c>
      <c r="G5" s="50">
        <f t="shared" si="1"/>
        <v>7200000</v>
      </c>
      <c r="H5" s="55">
        <f>20000*11</f>
        <v>220000</v>
      </c>
      <c r="I5" s="49">
        <v>30</v>
      </c>
      <c r="J5" s="49">
        <v>2</v>
      </c>
      <c r="K5" s="51">
        <f t="shared" si="2"/>
        <v>13200000</v>
      </c>
      <c r="L5" s="52">
        <f t="shared" si="3"/>
        <v>6000000</v>
      </c>
      <c r="M5" s="48">
        <f>40000*11</f>
        <v>440000</v>
      </c>
      <c r="N5" s="49">
        <f>N4</f>
        <v>53</v>
      </c>
      <c r="O5" s="49">
        <v>1</v>
      </c>
      <c r="P5" s="51">
        <f t="shared" si="4"/>
        <v>23320000</v>
      </c>
      <c r="Q5" s="52">
        <f t="shared" si="5"/>
        <v>16120000</v>
      </c>
      <c r="R5" s="53">
        <f t="shared" si="0"/>
        <v>1.7666666666666666</v>
      </c>
      <c r="S5" s="54" t="s">
        <v>83</v>
      </c>
    </row>
    <row r="6" spans="1:19" x14ac:dyDescent="0.2">
      <c r="A6" s="221"/>
      <c r="B6" s="46" t="s">
        <v>84</v>
      </c>
      <c r="C6" s="47" t="s">
        <v>85</v>
      </c>
      <c r="D6" s="92">
        <f>4298*12</f>
        <v>51576</v>
      </c>
      <c r="E6" s="49">
        <v>20</v>
      </c>
      <c r="F6" s="49">
        <v>1</v>
      </c>
      <c r="G6" s="50">
        <f t="shared" si="1"/>
        <v>1031520</v>
      </c>
      <c r="H6" s="48">
        <f>9900*12</f>
        <v>118800</v>
      </c>
      <c r="I6" s="49">
        <v>30</v>
      </c>
      <c r="J6" s="49">
        <v>2</v>
      </c>
      <c r="K6" s="51">
        <f t="shared" si="2"/>
        <v>7128000</v>
      </c>
      <c r="L6" s="52">
        <f t="shared" si="3"/>
        <v>6096480</v>
      </c>
      <c r="M6" s="48">
        <f>9900*12</f>
        <v>118800</v>
      </c>
      <c r="N6" s="49">
        <f>N4</f>
        <v>53</v>
      </c>
      <c r="O6" s="49">
        <v>1</v>
      </c>
      <c r="P6" s="51">
        <f t="shared" si="4"/>
        <v>6296400</v>
      </c>
      <c r="Q6" s="52">
        <f t="shared" si="5"/>
        <v>5264880</v>
      </c>
      <c r="R6" s="53">
        <f t="shared" si="0"/>
        <v>0.8833333333333333</v>
      </c>
      <c r="S6" s="54" t="s">
        <v>86</v>
      </c>
    </row>
    <row r="7" spans="1:19" x14ac:dyDescent="0.2">
      <c r="A7" s="221"/>
      <c r="B7" s="46" t="s">
        <v>87</v>
      </c>
      <c r="C7" s="47" t="s">
        <v>88</v>
      </c>
      <c r="D7" s="92">
        <v>126712.96296296296</v>
      </c>
      <c r="E7" s="49">
        <v>1</v>
      </c>
      <c r="F7" s="49">
        <v>1</v>
      </c>
      <c r="G7" s="50">
        <f t="shared" si="1"/>
        <v>126712.96296296296</v>
      </c>
      <c r="H7" s="48">
        <f>D7</f>
        <v>126712.96296296296</v>
      </c>
      <c r="I7" s="49">
        <v>95</v>
      </c>
      <c r="J7" s="49">
        <v>1</v>
      </c>
      <c r="K7" s="51">
        <f t="shared" si="2"/>
        <v>12037731.481481481</v>
      </c>
      <c r="L7" s="52">
        <f t="shared" si="3"/>
        <v>11911018.518518519</v>
      </c>
      <c r="M7" s="48">
        <f>180000*2/20</f>
        <v>18000</v>
      </c>
      <c r="N7" s="49">
        <v>20</v>
      </c>
      <c r="O7" s="49">
        <v>3</v>
      </c>
      <c r="P7" s="51">
        <f t="shared" si="4"/>
        <v>1080000</v>
      </c>
      <c r="Q7" s="52">
        <f t="shared" si="5"/>
        <v>953287.03703703708</v>
      </c>
      <c r="R7" s="53">
        <f t="shared" si="0"/>
        <v>8.9717900890333255E-2</v>
      </c>
      <c r="S7" s="54" t="s">
        <v>80</v>
      </c>
    </row>
    <row r="8" spans="1:19" x14ac:dyDescent="0.2">
      <c r="A8" s="221"/>
      <c r="B8" s="46" t="s">
        <v>89</v>
      </c>
      <c r="C8" s="47" t="s">
        <v>90</v>
      </c>
      <c r="D8" s="92">
        <v>30351.85185185185</v>
      </c>
      <c r="E8" s="49">
        <v>20</v>
      </c>
      <c r="F8" s="49">
        <v>1</v>
      </c>
      <c r="G8" s="50">
        <f t="shared" si="1"/>
        <v>607037.03703703696</v>
      </c>
      <c r="H8" s="48">
        <v>80000</v>
      </c>
      <c r="I8" s="49">
        <v>95</v>
      </c>
      <c r="J8" s="49">
        <v>1</v>
      </c>
      <c r="K8" s="51">
        <f t="shared" si="2"/>
        <v>7600000</v>
      </c>
      <c r="L8" s="52">
        <f t="shared" si="3"/>
        <v>6992962.9629629627</v>
      </c>
      <c r="M8" s="48">
        <v>80000</v>
      </c>
      <c r="N8" s="49">
        <v>20</v>
      </c>
      <c r="O8" s="49">
        <v>3</v>
      </c>
      <c r="P8" s="51">
        <f t="shared" si="4"/>
        <v>4800000</v>
      </c>
      <c r="Q8" s="52">
        <f t="shared" si="5"/>
        <v>4192962.9629629632</v>
      </c>
      <c r="R8" s="53">
        <f t="shared" si="0"/>
        <v>0.63157894736842102</v>
      </c>
      <c r="S8" s="54" t="s">
        <v>80</v>
      </c>
    </row>
    <row r="9" spans="1:19" x14ac:dyDescent="0.2">
      <c r="A9" s="221"/>
      <c r="B9" s="46" t="s">
        <v>91</v>
      </c>
      <c r="C9" s="47" t="s">
        <v>92</v>
      </c>
      <c r="D9" s="92">
        <v>943150</v>
      </c>
      <c r="E9" s="49">
        <v>1</v>
      </c>
      <c r="F9" s="49">
        <v>2</v>
      </c>
      <c r="G9" s="50">
        <f t="shared" si="1"/>
        <v>1886300</v>
      </c>
      <c r="H9" s="48">
        <v>1800000</v>
      </c>
      <c r="I9" s="49">
        <v>1</v>
      </c>
      <c r="J9" s="49">
        <v>3</v>
      </c>
      <c r="K9" s="51">
        <f t="shared" si="2"/>
        <v>5400000</v>
      </c>
      <c r="L9" s="52">
        <f t="shared" si="3"/>
        <v>3513700</v>
      </c>
      <c r="M9" s="48">
        <v>1800000</v>
      </c>
      <c r="N9" s="49">
        <v>1</v>
      </c>
      <c r="O9" s="49">
        <v>3</v>
      </c>
      <c r="P9" s="51">
        <f t="shared" si="4"/>
        <v>5400000</v>
      </c>
      <c r="Q9" s="52">
        <f t="shared" si="5"/>
        <v>3513700</v>
      </c>
      <c r="R9" s="53">
        <f t="shared" si="0"/>
        <v>1</v>
      </c>
      <c r="S9" s="54" t="s">
        <v>80</v>
      </c>
    </row>
    <row r="10" spans="1:19" x14ac:dyDescent="0.2">
      <c r="A10" s="221"/>
      <c r="B10" s="46" t="s">
        <v>93</v>
      </c>
      <c r="C10" s="47" t="s">
        <v>94</v>
      </c>
      <c r="D10" s="92">
        <v>36666.666666666664</v>
      </c>
      <c r="E10" s="49">
        <v>20</v>
      </c>
      <c r="F10" s="49">
        <v>1</v>
      </c>
      <c r="G10" s="50">
        <f t="shared" si="1"/>
        <v>733333.33333333326</v>
      </c>
      <c r="H10" s="48">
        <v>8000</v>
      </c>
      <c r="I10" s="49">
        <v>95</v>
      </c>
      <c r="J10" s="49">
        <v>1</v>
      </c>
      <c r="K10" s="51">
        <f t="shared" si="2"/>
        <v>760000</v>
      </c>
      <c r="L10" s="52">
        <f t="shared" si="3"/>
        <v>26666.666666666744</v>
      </c>
      <c r="M10" s="48">
        <v>8000</v>
      </c>
      <c r="N10" s="49">
        <v>20</v>
      </c>
      <c r="O10" s="49">
        <v>3</v>
      </c>
      <c r="P10" s="51">
        <f t="shared" si="4"/>
        <v>480000</v>
      </c>
      <c r="Q10" s="52">
        <f t="shared" si="5"/>
        <v>-253333.33333333326</v>
      </c>
      <c r="R10" s="53">
        <f t="shared" si="0"/>
        <v>0.63157894736842102</v>
      </c>
      <c r="S10" s="54" t="s">
        <v>80</v>
      </c>
    </row>
    <row r="11" spans="1:19" x14ac:dyDescent="0.2">
      <c r="A11" s="221"/>
      <c r="B11" s="46" t="s">
        <v>95</v>
      </c>
      <c r="C11" s="47" t="s">
        <v>96</v>
      </c>
      <c r="D11" s="92">
        <v>0</v>
      </c>
      <c r="E11" s="49">
        <v>0</v>
      </c>
      <c r="F11" s="49">
        <v>1</v>
      </c>
      <c r="G11" s="50">
        <f t="shared" si="1"/>
        <v>0</v>
      </c>
      <c r="H11" s="48">
        <v>5000</v>
      </c>
      <c r="I11" s="49">
        <v>1</v>
      </c>
      <c r="J11" s="49">
        <v>3</v>
      </c>
      <c r="K11" s="51">
        <f t="shared" si="2"/>
        <v>15000</v>
      </c>
      <c r="L11" s="52">
        <f t="shared" si="3"/>
        <v>15000</v>
      </c>
      <c r="M11" s="48">
        <v>5000</v>
      </c>
      <c r="N11" s="49">
        <v>1</v>
      </c>
      <c r="O11" s="49">
        <v>3</v>
      </c>
      <c r="P11" s="51">
        <f t="shared" si="4"/>
        <v>15000</v>
      </c>
      <c r="Q11" s="52">
        <f t="shared" si="5"/>
        <v>15000</v>
      </c>
      <c r="R11" s="53">
        <f t="shared" si="0"/>
        <v>1</v>
      </c>
      <c r="S11" s="54"/>
    </row>
    <row r="12" spans="1:19" ht="43.2" x14ac:dyDescent="0.2">
      <c r="A12" s="221"/>
      <c r="B12" s="46" t="s">
        <v>97</v>
      </c>
      <c r="C12" s="47" t="s">
        <v>30</v>
      </c>
      <c r="D12" s="92">
        <v>19400</v>
      </c>
      <c r="E12" s="49">
        <v>24</v>
      </c>
      <c r="F12" s="49">
        <v>1</v>
      </c>
      <c r="G12" s="50">
        <f t="shared" si="1"/>
        <v>465600</v>
      </c>
      <c r="H12" s="48">
        <v>600000</v>
      </c>
      <c r="I12" s="49">
        <v>1</v>
      </c>
      <c r="J12" s="49">
        <v>3</v>
      </c>
      <c r="K12" s="51">
        <f t="shared" si="2"/>
        <v>1800000</v>
      </c>
      <c r="L12" s="52">
        <f t="shared" si="3"/>
        <v>1334400</v>
      </c>
      <c r="M12" s="48">
        <v>600000</v>
      </c>
      <c r="N12" s="49">
        <v>1</v>
      </c>
      <c r="O12" s="49">
        <v>3</v>
      </c>
      <c r="P12" s="51">
        <f t="shared" si="4"/>
        <v>1800000</v>
      </c>
      <c r="Q12" s="52">
        <f t="shared" si="5"/>
        <v>1334400</v>
      </c>
      <c r="R12" s="53">
        <f t="shared" si="0"/>
        <v>1</v>
      </c>
      <c r="S12" s="54" t="s">
        <v>98</v>
      </c>
    </row>
    <row r="13" spans="1:19" x14ac:dyDescent="0.2">
      <c r="A13" s="221"/>
      <c r="B13" s="46" t="s">
        <v>99</v>
      </c>
      <c r="C13" s="47" t="s">
        <v>100</v>
      </c>
      <c r="D13" s="92"/>
      <c r="E13" s="49">
        <v>1</v>
      </c>
      <c r="F13" s="49">
        <v>20</v>
      </c>
      <c r="G13" s="50">
        <f t="shared" si="1"/>
        <v>0</v>
      </c>
      <c r="H13" s="48">
        <v>34000</v>
      </c>
      <c r="I13" s="49">
        <v>1</v>
      </c>
      <c r="J13" s="49">
        <v>3</v>
      </c>
      <c r="K13" s="51">
        <f t="shared" si="2"/>
        <v>102000</v>
      </c>
      <c r="L13" s="52">
        <f t="shared" si="3"/>
        <v>102000</v>
      </c>
      <c r="M13" s="48">
        <v>34000</v>
      </c>
      <c r="N13" s="49">
        <v>1</v>
      </c>
      <c r="O13" s="49">
        <v>3</v>
      </c>
      <c r="P13" s="51">
        <f t="shared" si="4"/>
        <v>102000</v>
      </c>
      <c r="Q13" s="52">
        <f t="shared" si="5"/>
        <v>102000</v>
      </c>
      <c r="R13" s="53">
        <f t="shared" si="0"/>
        <v>1</v>
      </c>
      <c r="S13" s="54" t="s">
        <v>80</v>
      </c>
    </row>
    <row r="14" spans="1:19" x14ac:dyDescent="0.2">
      <c r="A14" s="221"/>
      <c r="B14" s="46" t="s">
        <v>101</v>
      </c>
      <c r="C14" s="47" t="s">
        <v>102</v>
      </c>
      <c r="D14" s="92">
        <v>10000</v>
      </c>
      <c r="E14" s="49">
        <v>1</v>
      </c>
      <c r="F14" s="49">
        <v>2</v>
      </c>
      <c r="G14" s="50">
        <f t="shared" si="1"/>
        <v>20000</v>
      </c>
      <c r="H14" s="48">
        <v>70000</v>
      </c>
      <c r="I14" s="49">
        <v>1</v>
      </c>
      <c r="J14" s="49">
        <v>3</v>
      </c>
      <c r="K14" s="51">
        <f t="shared" si="2"/>
        <v>210000</v>
      </c>
      <c r="L14" s="52">
        <f t="shared" si="3"/>
        <v>190000</v>
      </c>
      <c r="M14" s="48">
        <v>70000</v>
      </c>
      <c r="N14" s="49">
        <v>1</v>
      </c>
      <c r="O14" s="49">
        <v>3</v>
      </c>
      <c r="P14" s="51">
        <f t="shared" si="4"/>
        <v>210000</v>
      </c>
      <c r="Q14" s="52">
        <f t="shared" si="5"/>
        <v>190000</v>
      </c>
      <c r="R14" s="53">
        <f t="shared" si="0"/>
        <v>1</v>
      </c>
      <c r="S14" s="54" t="s">
        <v>103</v>
      </c>
    </row>
    <row r="15" spans="1:19" x14ac:dyDescent="0.2">
      <c r="A15" s="221"/>
      <c r="B15" s="46" t="s">
        <v>104</v>
      </c>
      <c r="C15" s="47" t="s">
        <v>105</v>
      </c>
      <c r="D15" s="92">
        <v>311500</v>
      </c>
      <c r="E15" s="49">
        <v>1</v>
      </c>
      <c r="F15" s="49">
        <v>2</v>
      </c>
      <c r="G15" s="50">
        <f t="shared" si="1"/>
        <v>623000</v>
      </c>
      <c r="H15" s="48">
        <v>1000000</v>
      </c>
      <c r="I15" s="49">
        <v>1</v>
      </c>
      <c r="J15" s="49">
        <v>3</v>
      </c>
      <c r="K15" s="51">
        <f t="shared" si="2"/>
        <v>3000000</v>
      </c>
      <c r="L15" s="52">
        <f t="shared" si="3"/>
        <v>2377000</v>
      </c>
      <c r="M15" s="48">
        <v>1000000</v>
      </c>
      <c r="N15" s="49">
        <v>1</v>
      </c>
      <c r="O15" s="49">
        <v>3</v>
      </c>
      <c r="P15" s="51">
        <f t="shared" si="4"/>
        <v>3000000</v>
      </c>
      <c r="Q15" s="52">
        <f t="shared" si="5"/>
        <v>2377000</v>
      </c>
      <c r="R15" s="53">
        <f t="shared" si="0"/>
        <v>1</v>
      </c>
      <c r="S15" s="54" t="s">
        <v>80</v>
      </c>
    </row>
    <row r="16" spans="1:19" x14ac:dyDescent="0.2">
      <c r="A16" s="221"/>
      <c r="B16" s="46" t="s">
        <v>106</v>
      </c>
      <c r="C16" s="47" t="s">
        <v>107</v>
      </c>
      <c r="D16" s="92">
        <v>407358.33333333331</v>
      </c>
      <c r="E16" s="49">
        <v>1</v>
      </c>
      <c r="F16" s="49">
        <v>2</v>
      </c>
      <c r="G16" s="50">
        <f t="shared" si="1"/>
        <v>814716.66666666663</v>
      </c>
      <c r="H16" s="48">
        <v>1800000</v>
      </c>
      <c r="I16" s="49">
        <v>1</v>
      </c>
      <c r="J16" s="49">
        <v>3</v>
      </c>
      <c r="K16" s="51">
        <f t="shared" si="2"/>
        <v>5400000</v>
      </c>
      <c r="L16" s="52">
        <f t="shared" si="3"/>
        <v>4585283.333333333</v>
      </c>
      <c r="M16" s="48">
        <v>1800000</v>
      </c>
      <c r="N16" s="49">
        <v>1</v>
      </c>
      <c r="O16" s="49">
        <v>3</v>
      </c>
      <c r="P16" s="51">
        <f t="shared" si="4"/>
        <v>5400000</v>
      </c>
      <c r="Q16" s="52">
        <f t="shared" si="5"/>
        <v>4585283.333333333</v>
      </c>
      <c r="R16" s="53">
        <f t="shared" si="0"/>
        <v>1</v>
      </c>
      <c r="S16" s="54" t="s">
        <v>80</v>
      </c>
    </row>
    <row r="17" spans="1:19" x14ac:dyDescent="0.2">
      <c r="A17" s="221"/>
      <c r="B17" s="46" t="s">
        <v>108</v>
      </c>
      <c r="C17" s="47" t="s">
        <v>109</v>
      </c>
      <c r="D17" s="92">
        <v>1812600</v>
      </c>
      <c r="E17" s="49">
        <v>1</v>
      </c>
      <c r="F17" s="49">
        <v>2</v>
      </c>
      <c r="G17" s="50">
        <f t="shared" si="1"/>
        <v>3625200</v>
      </c>
      <c r="H17" s="48">
        <f>379000+106600+1024800+369800+342000</f>
        <v>2222200</v>
      </c>
      <c r="I17" s="49">
        <v>1</v>
      </c>
      <c r="J17" s="49">
        <v>3</v>
      </c>
      <c r="K17" s="51">
        <f t="shared" si="2"/>
        <v>6666600</v>
      </c>
      <c r="L17" s="52">
        <f t="shared" si="3"/>
        <v>3041400</v>
      </c>
      <c r="M17" s="48">
        <f>379000+106600+1024800+369800+342000</f>
        <v>2222200</v>
      </c>
      <c r="N17" s="49">
        <v>1</v>
      </c>
      <c r="O17" s="49">
        <v>3</v>
      </c>
      <c r="P17" s="51">
        <f t="shared" si="4"/>
        <v>6666600</v>
      </c>
      <c r="Q17" s="52">
        <f t="shared" si="5"/>
        <v>3041400</v>
      </c>
      <c r="R17" s="53">
        <f t="shared" si="0"/>
        <v>1</v>
      </c>
      <c r="S17" s="54" t="s">
        <v>80</v>
      </c>
    </row>
    <row r="18" spans="1:19" x14ac:dyDescent="0.2">
      <c r="A18" s="221"/>
      <c r="B18" s="46" t="s">
        <v>110</v>
      </c>
      <c r="C18" s="47" t="s">
        <v>111</v>
      </c>
      <c r="D18" s="92">
        <v>746440.74074074079</v>
      </c>
      <c r="E18" s="49">
        <v>1</v>
      </c>
      <c r="F18" s="49">
        <v>2</v>
      </c>
      <c r="G18" s="50">
        <f t="shared" si="1"/>
        <v>1492881.4814814816</v>
      </c>
      <c r="H18" s="48">
        <f>1152000+800000+400000</f>
        <v>2352000</v>
      </c>
      <c r="I18" s="49">
        <v>1</v>
      </c>
      <c r="J18" s="49">
        <v>3</v>
      </c>
      <c r="K18" s="51">
        <f t="shared" si="2"/>
        <v>7056000</v>
      </c>
      <c r="L18" s="52">
        <f t="shared" si="3"/>
        <v>5563118.5185185187</v>
      </c>
      <c r="M18" s="48">
        <f>1152000+800000+400000</f>
        <v>2352000</v>
      </c>
      <c r="N18" s="49">
        <v>1</v>
      </c>
      <c r="O18" s="49">
        <v>3</v>
      </c>
      <c r="P18" s="51">
        <f t="shared" si="4"/>
        <v>7056000</v>
      </c>
      <c r="Q18" s="52">
        <f t="shared" si="5"/>
        <v>5563118.5185185187</v>
      </c>
      <c r="R18" s="53">
        <f t="shared" si="0"/>
        <v>1</v>
      </c>
      <c r="S18" s="54" t="s">
        <v>80</v>
      </c>
    </row>
    <row r="19" spans="1:19" x14ac:dyDescent="0.2">
      <c r="A19" s="221"/>
      <c r="B19" s="46" t="s">
        <v>112</v>
      </c>
      <c r="C19" s="47" t="s">
        <v>113</v>
      </c>
      <c r="D19" s="92">
        <v>134970.37037037036</v>
      </c>
      <c r="E19" s="49">
        <v>1</v>
      </c>
      <c r="F19" s="49">
        <v>2</v>
      </c>
      <c r="G19" s="50">
        <f>D19*E19*F19</f>
        <v>269940.74074074073</v>
      </c>
      <c r="H19" s="48">
        <f>G19</f>
        <v>269940.74074074073</v>
      </c>
      <c r="I19" s="49">
        <v>1</v>
      </c>
      <c r="J19" s="49">
        <v>1</v>
      </c>
      <c r="K19" s="51">
        <f>H19*I19*J19</f>
        <v>269940.74074074073</v>
      </c>
      <c r="L19" s="52">
        <f>K19-G19</f>
        <v>0</v>
      </c>
      <c r="M19" s="48">
        <f>20000*60+5000*72</f>
        <v>1560000</v>
      </c>
      <c r="N19" s="49">
        <v>1</v>
      </c>
      <c r="O19" s="49">
        <v>1</v>
      </c>
      <c r="P19" s="51">
        <f>M19*N19*O19</f>
        <v>1560000</v>
      </c>
      <c r="Q19" s="52">
        <f>P19-G19</f>
        <v>1290059.2592592593</v>
      </c>
      <c r="R19" s="53">
        <f>P19/K19</f>
        <v>5.7790461555348225</v>
      </c>
      <c r="S19" s="54" t="s">
        <v>80</v>
      </c>
    </row>
    <row r="20" spans="1:19" x14ac:dyDescent="0.2">
      <c r="A20" s="221"/>
      <c r="B20" s="46" t="s">
        <v>114</v>
      </c>
      <c r="C20" s="47" t="s">
        <v>115</v>
      </c>
      <c r="D20" s="92">
        <v>560</v>
      </c>
      <c r="E20" s="49">
        <v>20</v>
      </c>
      <c r="F20" s="49">
        <v>1</v>
      </c>
      <c r="G20" s="50">
        <f t="shared" si="1"/>
        <v>11200</v>
      </c>
      <c r="H20" s="48">
        <f>G20</f>
        <v>11200</v>
      </c>
      <c r="I20" s="49">
        <v>1</v>
      </c>
      <c r="J20" s="49">
        <v>1</v>
      </c>
      <c r="K20" s="51">
        <f t="shared" si="2"/>
        <v>11200</v>
      </c>
      <c r="L20" s="52">
        <f t="shared" si="3"/>
        <v>0</v>
      </c>
      <c r="M20" s="48">
        <v>0</v>
      </c>
      <c r="N20" s="49">
        <v>0</v>
      </c>
      <c r="O20" s="49">
        <v>0</v>
      </c>
      <c r="P20" s="51">
        <f t="shared" si="4"/>
        <v>0</v>
      </c>
      <c r="Q20" s="52">
        <f t="shared" si="5"/>
        <v>-11200</v>
      </c>
      <c r="R20" s="53" t="s">
        <v>116</v>
      </c>
      <c r="S20" s="54" t="s">
        <v>80</v>
      </c>
    </row>
    <row r="21" spans="1:19" ht="43.2" x14ac:dyDescent="0.2">
      <c r="A21" s="221"/>
      <c r="B21" s="46" t="s">
        <v>117</v>
      </c>
      <c r="C21" s="47" t="s">
        <v>118</v>
      </c>
      <c r="D21" s="92">
        <v>51200</v>
      </c>
      <c r="E21" s="49">
        <v>10</v>
      </c>
      <c r="F21" s="49">
        <v>1</v>
      </c>
      <c r="G21" s="50">
        <f t="shared" si="1"/>
        <v>512000</v>
      </c>
      <c r="H21" s="48"/>
      <c r="I21" s="49"/>
      <c r="J21" s="49"/>
      <c r="K21" s="51"/>
      <c r="L21" s="52"/>
      <c r="M21" s="48"/>
      <c r="N21" s="49"/>
      <c r="O21" s="49"/>
      <c r="P21" s="51"/>
      <c r="Q21" s="52"/>
      <c r="R21" s="53"/>
      <c r="S21" s="54" t="s">
        <v>119</v>
      </c>
    </row>
    <row r="22" spans="1:19" x14ac:dyDescent="0.2">
      <c r="A22" s="221"/>
      <c r="B22" s="46"/>
      <c r="C22" s="47" t="s">
        <v>125</v>
      </c>
      <c r="D22" s="92"/>
      <c r="E22" s="49"/>
      <c r="F22" s="49"/>
      <c r="G22" s="50">
        <f t="shared" si="1"/>
        <v>0</v>
      </c>
      <c r="H22" s="48"/>
      <c r="I22" s="49"/>
      <c r="J22" s="49"/>
      <c r="K22" s="51">
        <f t="shared" si="2"/>
        <v>0</v>
      </c>
      <c r="L22" s="52">
        <f t="shared" si="3"/>
        <v>0</v>
      </c>
      <c r="M22" s="48"/>
      <c r="N22" s="49"/>
      <c r="O22" s="49"/>
      <c r="P22" s="51">
        <f t="shared" si="4"/>
        <v>0</v>
      </c>
      <c r="Q22" s="52">
        <f t="shared" si="5"/>
        <v>0</v>
      </c>
      <c r="R22" s="53" t="e">
        <f t="shared" si="0"/>
        <v>#DIV/0!</v>
      </c>
      <c r="S22" s="56"/>
    </row>
    <row r="23" spans="1:19" x14ac:dyDescent="0.2">
      <c r="A23" s="64" t="s">
        <v>126</v>
      </c>
      <c r="B23" s="65"/>
      <c r="C23" s="38"/>
      <c r="D23" s="94" t="s">
        <v>75</v>
      </c>
      <c r="E23" s="57" t="s">
        <v>127</v>
      </c>
      <c r="F23" s="66">
        <f>SUM(E24:E26)</f>
        <v>90</v>
      </c>
      <c r="G23" s="58">
        <f>ROUNDDOWN(SUM(G24:G26),-3)</f>
        <v>4242000</v>
      </c>
      <c r="H23" s="61" t="s">
        <v>75</v>
      </c>
      <c r="I23" s="57" t="s">
        <v>128</v>
      </c>
      <c r="J23" s="66">
        <f>SUM(I24:I26)</f>
        <v>24.34</v>
      </c>
      <c r="K23" s="59">
        <f>SUM(K24:K26)-500</f>
        <v>22618700</v>
      </c>
      <c r="L23" s="60">
        <f t="shared" si="3"/>
        <v>18376700</v>
      </c>
      <c r="M23" s="61" t="s">
        <v>129</v>
      </c>
      <c r="N23" s="57" t="s">
        <v>127</v>
      </c>
      <c r="O23" s="66">
        <f>SUM(N24:N26)</f>
        <v>490</v>
      </c>
      <c r="P23" s="59">
        <f>ROUNDDOWN(SUM(P24:P26),-3)</f>
        <v>22792000</v>
      </c>
      <c r="Q23" s="60">
        <f t="shared" si="5"/>
        <v>18550000</v>
      </c>
      <c r="R23" s="45">
        <f t="shared" si="0"/>
        <v>1.007661801960325</v>
      </c>
      <c r="S23" s="36" t="s">
        <v>77</v>
      </c>
    </row>
    <row r="24" spans="1:19" x14ac:dyDescent="0.2">
      <c r="A24" s="222"/>
      <c r="B24" s="46" t="s">
        <v>78</v>
      </c>
      <c r="C24" s="47" t="s">
        <v>130</v>
      </c>
      <c r="D24" s="92">
        <v>57400</v>
      </c>
      <c r="E24" s="67">
        <v>30</v>
      </c>
      <c r="F24" s="68"/>
      <c r="G24" s="50">
        <f>D24*E24</f>
        <v>1722000</v>
      </c>
      <c r="H24" s="48">
        <v>1234000</v>
      </c>
      <c r="I24" s="67">
        <v>5.17</v>
      </c>
      <c r="J24" s="49" t="s">
        <v>131</v>
      </c>
      <c r="K24" s="51">
        <f>H24*I24</f>
        <v>6379780</v>
      </c>
      <c r="L24" s="52">
        <f t="shared" si="3"/>
        <v>4657780</v>
      </c>
      <c r="M24" s="48">
        <v>61700</v>
      </c>
      <c r="N24" s="67">
        <v>105</v>
      </c>
      <c r="O24" s="49" t="s">
        <v>132</v>
      </c>
      <c r="P24" s="51">
        <f>M24*N24</f>
        <v>6478500</v>
      </c>
      <c r="Q24" s="52">
        <f t="shared" si="5"/>
        <v>4756500</v>
      </c>
      <c r="R24" s="53">
        <f t="shared" si="0"/>
        <v>1.0154738878143132</v>
      </c>
      <c r="S24" s="54" t="s">
        <v>133</v>
      </c>
    </row>
    <row r="25" spans="1:19" x14ac:dyDescent="0.2">
      <c r="A25" s="223"/>
      <c r="B25" s="46" t="s">
        <v>134</v>
      </c>
      <c r="C25" s="47" t="s">
        <v>135</v>
      </c>
      <c r="D25" s="92">
        <v>51200</v>
      </c>
      <c r="E25" s="67">
        <v>30</v>
      </c>
      <c r="F25" s="49"/>
      <c r="G25" s="50">
        <f>D25*E25</f>
        <v>1536000</v>
      </c>
      <c r="H25" s="48">
        <v>926000</v>
      </c>
      <c r="I25" s="67">
        <v>10.17</v>
      </c>
      <c r="J25" s="49" t="s">
        <v>136</v>
      </c>
      <c r="K25" s="51">
        <f>H25*I25</f>
        <v>9417420</v>
      </c>
      <c r="L25" s="52">
        <f t="shared" si="3"/>
        <v>7881420</v>
      </c>
      <c r="M25" s="48">
        <v>46300</v>
      </c>
      <c r="N25" s="67">
        <v>205</v>
      </c>
      <c r="O25" s="49" t="s">
        <v>137</v>
      </c>
      <c r="P25" s="51">
        <f>M25*N25</f>
        <v>9491500</v>
      </c>
      <c r="Q25" s="52">
        <f t="shared" si="5"/>
        <v>7955500</v>
      </c>
      <c r="R25" s="53">
        <f t="shared" si="0"/>
        <v>1.0078662733529991</v>
      </c>
      <c r="S25" s="54" t="s">
        <v>133</v>
      </c>
    </row>
    <row r="26" spans="1:19" x14ac:dyDescent="0.2">
      <c r="A26" s="223"/>
      <c r="B26" s="46" t="s">
        <v>138</v>
      </c>
      <c r="C26" s="47" t="s">
        <v>139</v>
      </c>
      <c r="D26" s="92">
        <v>32800</v>
      </c>
      <c r="E26" s="67">
        <v>30</v>
      </c>
      <c r="F26" s="49"/>
      <c r="G26" s="50">
        <f>D26*E26</f>
        <v>984000</v>
      </c>
      <c r="H26" s="48">
        <v>758000</v>
      </c>
      <c r="I26" s="67">
        <v>9</v>
      </c>
      <c r="J26" s="49" t="s">
        <v>140</v>
      </c>
      <c r="K26" s="51">
        <f>H26*I26</f>
        <v>6822000</v>
      </c>
      <c r="L26" s="52">
        <f t="shared" si="3"/>
        <v>5838000</v>
      </c>
      <c r="M26" s="48">
        <v>37900</v>
      </c>
      <c r="N26" s="67">
        <v>180</v>
      </c>
      <c r="O26" s="49" t="s">
        <v>140</v>
      </c>
      <c r="P26" s="51">
        <f>M26*N26</f>
        <v>6822000</v>
      </c>
      <c r="Q26" s="52">
        <f t="shared" si="5"/>
        <v>5838000</v>
      </c>
      <c r="R26" s="53">
        <f t="shared" si="0"/>
        <v>1</v>
      </c>
      <c r="S26" s="54" t="s">
        <v>133</v>
      </c>
    </row>
    <row r="27" spans="1:19" x14ac:dyDescent="0.2">
      <c r="A27" s="64" t="s">
        <v>141</v>
      </c>
      <c r="B27" s="69"/>
      <c r="C27" s="38" t="s">
        <v>142</v>
      </c>
      <c r="D27" s="95"/>
      <c r="E27" s="59"/>
      <c r="F27" s="62"/>
      <c r="G27" s="58">
        <f>ROUNDDOWN((G28+G29),-3)</f>
        <v>4963000</v>
      </c>
      <c r="H27" s="70"/>
      <c r="I27" s="59"/>
      <c r="J27" s="62"/>
      <c r="K27" s="59">
        <f>K28+K29</f>
        <v>32147000</v>
      </c>
      <c r="L27" s="60">
        <f t="shared" si="3"/>
        <v>27184000</v>
      </c>
      <c r="M27" s="70"/>
      <c r="N27" s="59"/>
      <c r="O27" s="62"/>
      <c r="P27" s="59">
        <f>ROUNDDOWN((P28+P29),-3)</f>
        <v>26665000</v>
      </c>
      <c r="Q27" s="60">
        <f t="shared" si="5"/>
        <v>21702000</v>
      </c>
      <c r="R27" s="45">
        <f t="shared" si="0"/>
        <v>0.8294708681992099</v>
      </c>
      <c r="S27" s="36" t="s">
        <v>143</v>
      </c>
    </row>
    <row r="28" spans="1:19" x14ac:dyDescent="0.2">
      <c r="A28" s="71"/>
      <c r="B28" s="46"/>
      <c r="C28" s="47" t="s">
        <v>144</v>
      </c>
      <c r="D28" s="92" t="s">
        <v>145</v>
      </c>
      <c r="E28" s="49"/>
      <c r="F28" s="49"/>
      <c r="G28" s="51">
        <f>ROUNDDOWN(G23*0.55,-3)</f>
        <v>2333000</v>
      </c>
      <c r="H28" s="48" t="s">
        <v>145</v>
      </c>
      <c r="I28" s="49"/>
      <c r="J28" s="49"/>
      <c r="K28" s="51">
        <v>15112000</v>
      </c>
      <c r="L28" s="52">
        <f t="shared" si="3"/>
        <v>12779000</v>
      </c>
      <c r="M28" s="48" t="s">
        <v>145</v>
      </c>
      <c r="N28" s="49"/>
      <c r="O28" s="49"/>
      <c r="P28" s="51">
        <f>ROUNDDOWN(P23*0.55,-3)</f>
        <v>12535000</v>
      </c>
      <c r="Q28" s="52">
        <f t="shared" si="5"/>
        <v>10202000</v>
      </c>
      <c r="R28" s="53">
        <f t="shared" si="0"/>
        <v>0.82947326627845419</v>
      </c>
      <c r="S28" s="54"/>
    </row>
    <row r="29" spans="1:19" x14ac:dyDescent="0.2">
      <c r="A29" s="71"/>
      <c r="B29" s="46"/>
      <c r="C29" s="47" t="s">
        <v>146</v>
      </c>
      <c r="D29" s="92" t="s">
        <v>147</v>
      </c>
      <c r="E29" s="49"/>
      <c r="F29" s="49"/>
      <c r="G29" s="51">
        <f>ROUNDDOWN((G23+G28)*0.4,-3)</f>
        <v>2630000</v>
      </c>
      <c r="H29" s="48" t="s">
        <v>147</v>
      </c>
      <c r="I29" s="49"/>
      <c r="J29" s="49"/>
      <c r="K29" s="51">
        <v>17035000</v>
      </c>
      <c r="L29" s="52">
        <f t="shared" si="3"/>
        <v>14405000</v>
      </c>
      <c r="M29" s="48" t="s">
        <v>147</v>
      </c>
      <c r="N29" s="49"/>
      <c r="O29" s="49"/>
      <c r="P29" s="51">
        <f>ROUNDDOWN((P23+P28)*0.4,-3)</f>
        <v>14130000</v>
      </c>
      <c r="Q29" s="52">
        <f t="shared" si="5"/>
        <v>11500000</v>
      </c>
      <c r="R29" s="53">
        <f t="shared" si="0"/>
        <v>0.82946874082770761</v>
      </c>
      <c r="S29" s="54"/>
    </row>
    <row r="30" spans="1:19" x14ac:dyDescent="0.2">
      <c r="A30" s="64" t="s">
        <v>148</v>
      </c>
      <c r="B30" s="69"/>
      <c r="C30" s="72" t="s">
        <v>149</v>
      </c>
      <c r="D30" s="95"/>
      <c r="E30" s="59"/>
      <c r="F30" s="59"/>
      <c r="G30" s="58">
        <f>(G3+G23+G27)*0.1</f>
        <v>3026100</v>
      </c>
      <c r="H30" s="70"/>
      <c r="I30" s="59"/>
      <c r="J30" s="59"/>
      <c r="K30" s="59" t="e">
        <f>(K3+#REF!+#REF!+K23+K27-#REF!)*0.08</f>
        <v>#REF!</v>
      </c>
      <c r="L30" s="60" t="e">
        <f t="shared" si="3"/>
        <v>#REF!</v>
      </c>
      <c r="M30" s="70"/>
      <c r="N30" s="59"/>
      <c r="O30" s="38" t="s">
        <v>150</v>
      </c>
      <c r="P30" s="59" t="e">
        <f>(P3+#REF!+#REF!+P23+P27)*0.08</f>
        <v>#REF!</v>
      </c>
      <c r="Q30" s="60" t="e">
        <f t="shared" si="5"/>
        <v>#REF!</v>
      </c>
      <c r="R30" s="45" t="e">
        <f t="shared" si="0"/>
        <v>#REF!</v>
      </c>
      <c r="S30" s="36"/>
    </row>
    <row r="31" spans="1:19" x14ac:dyDescent="0.2">
      <c r="A31" s="71"/>
      <c r="B31" s="46"/>
      <c r="C31" s="47"/>
      <c r="D31" s="92"/>
      <c r="E31" s="49"/>
      <c r="F31" s="49"/>
      <c r="G31" s="50"/>
      <c r="H31" s="48"/>
      <c r="I31" s="49"/>
      <c r="J31" s="49"/>
      <c r="K31" s="51"/>
      <c r="L31" s="52">
        <f t="shared" si="3"/>
        <v>0</v>
      </c>
      <c r="M31" s="48"/>
      <c r="N31" s="49"/>
      <c r="O31" s="49"/>
      <c r="P31" s="51"/>
      <c r="Q31" s="52">
        <f t="shared" si="5"/>
        <v>0</v>
      </c>
      <c r="R31" s="53"/>
      <c r="S31" s="63" t="s">
        <v>151</v>
      </c>
    </row>
    <row r="32" spans="1:19" ht="15" thickBot="1" x14ac:dyDescent="0.25">
      <c r="A32" s="36"/>
      <c r="B32" s="25"/>
      <c r="C32" s="88"/>
      <c r="D32" s="96"/>
      <c r="E32" s="74"/>
      <c r="F32" s="74"/>
      <c r="G32" s="75">
        <f>G3+G23+G27+G30</f>
        <v>33287100</v>
      </c>
      <c r="H32" s="73"/>
      <c r="I32" s="74"/>
      <c r="J32" s="74"/>
      <c r="K32" s="76" t="e">
        <f>K3+#REF!+#REF!+K23+K27+K30</f>
        <v>#REF!</v>
      </c>
      <c r="L32" s="77" t="e">
        <f>K32-G32</f>
        <v>#REF!</v>
      </c>
      <c r="M32" s="73"/>
      <c r="N32" s="74"/>
      <c r="O32" s="74"/>
      <c r="P32" s="76" t="e">
        <f>P3+#REF!+#REF!+P23+P27+P30</f>
        <v>#REF!</v>
      </c>
      <c r="Q32" s="77" t="e">
        <f t="shared" si="5"/>
        <v>#REF!</v>
      </c>
      <c r="R32" s="45" t="e">
        <f>P32/K32</f>
        <v>#REF!</v>
      </c>
      <c r="S32" s="78"/>
    </row>
    <row r="33" spans="2:19" x14ac:dyDescent="0.2">
      <c r="B33" s="24"/>
      <c r="I33" s="27"/>
      <c r="L33" s="28"/>
      <c r="Q33" s="28"/>
      <c r="R33" s="79"/>
    </row>
    <row r="34" spans="2:19" x14ac:dyDescent="0.2">
      <c r="B34" s="24"/>
      <c r="C34" s="224" t="s">
        <v>152</v>
      </c>
      <c r="D34" s="224"/>
      <c r="E34" s="224"/>
      <c r="F34" s="224"/>
      <c r="G34" s="224"/>
      <c r="I34" s="27"/>
      <c r="L34" s="28"/>
      <c r="Q34" s="28"/>
      <c r="R34" s="79"/>
    </row>
    <row r="35" spans="2:19" ht="33" customHeight="1" x14ac:dyDescent="0.2">
      <c r="B35" s="24"/>
      <c r="C35" s="224"/>
      <c r="D35" s="224"/>
      <c r="E35" s="224"/>
      <c r="F35" s="224"/>
      <c r="G35" s="224"/>
      <c r="I35" s="27"/>
      <c r="L35" s="80"/>
      <c r="O35" s="81"/>
      <c r="P35" s="81"/>
      <c r="Q35" s="80"/>
      <c r="R35" s="82"/>
      <c r="S35" s="81"/>
    </row>
    <row r="36" spans="2:19" x14ac:dyDescent="0.2">
      <c r="B36" s="24"/>
      <c r="F36" s="83"/>
      <c r="G36" s="83">
        <f>G32*(1-0.36)</f>
        <v>21303744</v>
      </c>
      <c r="I36" s="27"/>
      <c r="L36" s="84"/>
      <c r="O36" s="83"/>
      <c r="P36" s="83"/>
      <c r="Q36" s="84"/>
      <c r="R36" s="85"/>
      <c r="S36" s="225"/>
    </row>
    <row r="37" spans="2:19" x14ac:dyDescent="0.2">
      <c r="B37" s="24"/>
      <c r="F37" s="86"/>
      <c r="G37" s="86"/>
      <c r="I37" s="27"/>
      <c r="L37" s="30"/>
      <c r="O37" s="86"/>
      <c r="P37" s="86"/>
      <c r="Q37" s="30"/>
      <c r="R37" s="31"/>
      <c r="S37" s="225"/>
    </row>
  </sheetData>
  <mergeCells count="4">
    <mergeCell ref="S36:S37"/>
    <mergeCell ref="A4:A22"/>
    <mergeCell ref="A24:A26"/>
    <mergeCell ref="C34:G35"/>
  </mergeCells>
  <phoneticPr fontId="1"/>
  <pageMargins left="0.7" right="0.7" top="0.75" bottom="0.75" header="0.3" footer="0.3"/>
  <pageSetup paperSize="9" orientation="portrait" horizontalDpi="4294967292" verticalDpi="0" copies="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3"/>
  <sheetViews>
    <sheetView workbookViewId="0">
      <selection activeCell="H25" sqref="H25"/>
    </sheetView>
  </sheetViews>
  <sheetFormatPr defaultColWidth="8.59765625" defaultRowHeight="14.4" x14ac:dyDescent="0.2"/>
  <cols>
    <col min="1" max="1" width="3.59765625" style="18" customWidth="1"/>
    <col min="2" max="3" width="7" style="18" customWidth="1"/>
    <col min="4" max="4" width="15.59765625" style="18" customWidth="1"/>
    <col min="5" max="5" width="12.69921875" style="18" customWidth="1"/>
    <col min="6" max="6" width="15.69921875" style="18" customWidth="1"/>
    <col min="7" max="16384" width="8.59765625" style="18"/>
  </cols>
  <sheetData>
    <row r="1" spans="1:11" ht="16.2" x14ac:dyDescent="0.2">
      <c r="A1" s="205" t="s">
        <v>0</v>
      </c>
      <c r="B1" s="205"/>
      <c r="C1" s="205"/>
      <c r="D1" s="205"/>
      <c r="E1" s="205"/>
      <c r="F1" s="205"/>
      <c r="G1" s="205"/>
      <c r="H1" s="205"/>
      <c r="I1" s="205"/>
      <c r="J1" s="205"/>
      <c r="K1" s="205"/>
    </row>
    <row r="2" spans="1:11" ht="16.2" x14ac:dyDescent="0.2">
      <c r="A2" s="205" t="s">
        <v>1</v>
      </c>
      <c r="B2" s="205"/>
      <c r="C2" s="205"/>
      <c r="D2" s="205"/>
      <c r="E2" s="205"/>
      <c r="F2" s="205"/>
      <c r="G2" s="205"/>
      <c r="H2" s="205"/>
      <c r="I2" s="205"/>
      <c r="J2" s="205"/>
      <c r="K2" s="205"/>
    </row>
    <row r="3" spans="1:11" ht="16.2" x14ac:dyDescent="0.2">
      <c r="A3" s="17"/>
      <c r="B3" s="17"/>
      <c r="C3" s="17"/>
      <c r="D3" s="17"/>
      <c r="E3" s="17"/>
      <c r="F3" s="17"/>
      <c r="G3" s="17"/>
      <c r="H3" s="17"/>
      <c r="I3" s="17"/>
      <c r="J3" s="17"/>
      <c r="K3" s="17"/>
    </row>
    <row r="4" spans="1:11" x14ac:dyDescent="0.2">
      <c r="B4" s="12" t="s">
        <v>2</v>
      </c>
      <c r="C4" s="12" t="s">
        <v>3</v>
      </c>
      <c r="D4" s="12" t="s">
        <v>4</v>
      </c>
      <c r="E4" s="12" t="s">
        <v>5</v>
      </c>
    </row>
    <row r="5" spans="1:11" x14ac:dyDescent="0.2">
      <c r="B5" s="12">
        <v>2022</v>
      </c>
      <c r="C5" s="12">
        <v>1</v>
      </c>
      <c r="D5" s="12" t="s">
        <v>8</v>
      </c>
      <c r="E5" s="19">
        <f>'Ver2_全訪日（2023年度2回3回）'!G32</f>
        <v>50092900</v>
      </c>
      <c r="F5" s="97"/>
    </row>
    <row r="6" spans="1:11" x14ac:dyDescent="0.2">
      <c r="B6" s="12"/>
      <c r="C6" s="12">
        <v>2</v>
      </c>
      <c r="D6" s="12" t="s">
        <v>8</v>
      </c>
      <c r="E6" s="19">
        <f>E5</f>
        <v>50092900</v>
      </c>
    </row>
    <row r="7" spans="1:11" x14ac:dyDescent="0.2">
      <c r="B7" s="12"/>
      <c r="C7" s="12">
        <v>3</v>
      </c>
      <c r="D7" s="12" t="s">
        <v>8</v>
      </c>
      <c r="E7" s="19">
        <f t="shared" ref="E7:E10" si="0">E6</f>
        <v>50092900</v>
      </c>
      <c r="F7" s="97">
        <f>SUM(E5:E7)</f>
        <v>150278700</v>
      </c>
    </row>
    <row r="8" spans="1:11" x14ac:dyDescent="0.2">
      <c r="B8" s="12">
        <v>2023</v>
      </c>
      <c r="C8" s="12">
        <v>1</v>
      </c>
      <c r="D8" s="12" t="s">
        <v>8</v>
      </c>
      <c r="E8" s="19">
        <f t="shared" si="0"/>
        <v>50092900</v>
      </c>
    </row>
    <row r="9" spans="1:11" x14ac:dyDescent="0.2">
      <c r="B9" s="12"/>
      <c r="C9" s="12">
        <v>2</v>
      </c>
      <c r="D9" s="12" t="s">
        <v>8</v>
      </c>
      <c r="E9" s="19">
        <f t="shared" si="0"/>
        <v>50092900</v>
      </c>
    </row>
    <row r="10" spans="1:11" ht="15" thickBot="1" x14ac:dyDescent="0.25">
      <c r="B10" s="21"/>
      <c r="C10" s="21">
        <v>3</v>
      </c>
      <c r="D10" s="21" t="s">
        <v>8</v>
      </c>
      <c r="E10" s="19">
        <f t="shared" si="0"/>
        <v>50092900</v>
      </c>
      <c r="F10" s="97">
        <f>SUM(E8:E10)</f>
        <v>150278700</v>
      </c>
    </row>
    <row r="11" spans="1:11" ht="15" thickTop="1" x14ac:dyDescent="0.2">
      <c r="B11" s="20"/>
      <c r="C11" s="20"/>
      <c r="D11" s="20"/>
      <c r="E11" s="22">
        <f>SUM(E5:E10)</f>
        <v>300557400</v>
      </c>
    </row>
    <row r="13" spans="1:11" x14ac:dyDescent="0.2">
      <c r="B13" s="18" t="s">
        <v>153</v>
      </c>
    </row>
  </sheetData>
  <mergeCells count="2">
    <mergeCell ref="A1:K1"/>
    <mergeCell ref="A2:K2"/>
  </mergeCells>
  <phoneticPr fontId="1"/>
  <pageMargins left="0.7" right="0.7" top="0.75" bottom="0.75" header="0.3" footer="0.3"/>
  <pageSetup paperSize="9" orientation="portrait" horizontalDpi="4294967292" verticalDpi="0"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7"/>
  <sheetViews>
    <sheetView topLeftCell="D1" zoomScale="85" zoomScaleNormal="85" workbookViewId="0">
      <selection activeCell="S34" sqref="S34"/>
    </sheetView>
  </sheetViews>
  <sheetFormatPr defaultRowHeight="14.4" x14ac:dyDescent="0.2"/>
  <cols>
    <col min="1" max="1" width="16.69921875" customWidth="1"/>
    <col min="2" max="2" width="5.5" bestFit="1" customWidth="1"/>
    <col min="3" max="3" width="37.09765625" customWidth="1"/>
    <col min="4" max="4" width="16.69921875" style="5" customWidth="1"/>
    <col min="5" max="5" width="16.69921875" customWidth="1"/>
    <col min="6" max="6" width="21.19921875" customWidth="1"/>
    <col min="7" max="7" width="18.5" customWidth="1"/>
    <col min="8" max="18" width="0" hidden="1" customWidth="1"/>
    <col min="19" max="19" width="29.19921875" customWidth="1"/>
    <col min="31" max="31" width="16.19921875" customWidth="1"/>
  </cols>
  <sheetData>
    <row r="1" spans="1:19" ht="23.4" x14ac:dyDescent="0.2">
      <c r="A1" s="23" t="s">
        <v>66</v>
      </c>
      <c r="B1" s="24"/>
      <c r="E1" s="87"/>
      <c r="F1" s="26"/>
      <c r="G1" s="26"/>
      <c r="I1" s="27"/>
      <c r="L1" s="28"/>
      <c r="M1" s="29"/>
      <c r="N1" s="24"/>
      <c r="O1" s="24"/>
      <c r="P1" s="24"/>
      <c r="Q1" s="30"/>
      <c r="R1" s="31"/>
      <c r="S1" s="32">
        <f ca="1">NOW()</f>
        <v>45538.702928356484</v>
      </c>
    </row>
    <row r="2" spans="1:19" ht="15" thickBot="1" x14ac:dyDescent="0.25">
      <c r="A2" t="s">
        <v>67</v>
      </c>
      <c r="D2" s="90" t="s">
        <v>68</v>
      </c>
      <c r="E2" s="33"/>
      <c r="F2" s="33"/>
      <c r="G2" s="33"/>
      <c r="H2" s="33" t="s">
        <v>69</v>
      </c>
      <c r="I2" s="27"/>
      <c r="L2" s="34" t="s">
        <v>70</v>
      </c>
      <c r="M2" s="33" t="s">
        <v>71</v>
      </c>
      <c r="N2" s="33"/>
      <c r="O2" s="33"/>
      <c r="P2" s="33"/>
      <c r="Q2" s="34" t="s">
        <v>72</v>
      </c>
      <c r="R2" s="35" t="s">
        <v>73</v>
      </c>
    </row>
    <row r="3" spans="1:19" x14ac:dyDescent="0.2">
      <c r="A3" s="36" t="s">
        <v>74</v>
      </c>
      <c r="B3" s="37"/>
      <c r="C3" s="38"/>
      <c r="D3" s="91" t="s">
        <v>75</v>
      </c>
      <c r="E3" s="40" t="s">
        <v>76</v>
      </c>
      <c r="F3" s="41" t="s">
        <v>3</v>
      </c>
      <c r="G3" s="42">
        <f>ROUNDDOWN(SUM(G4:G20),-3)</f>
        <v>36334000</v>
      </c>
      <c r="H3" s="39" t="s">
        <v>75</v>
      </c>
      <c r="I3" s="40" t="s">
        <v>76</v>
      </c>
      <c r="J3" s="41" t="s">
        <v>3</v>
      </c>
      <c r="K3" s="43">
        <f>SUM(K4:K20)-600</f>
        <v>76655872.222222224</v>
      </c>
      <c r="L3" s="44">
        <f>K3-G3</f>
        <v>40321872.222222224</v>
      </c>
      <c r="M3" s="39" t="s">
        <v>75</v>
      </c>
      <c r="N3" s="40" t="s">
        <v>76</v>
      </c>
      <c r="O3" s="41" t="s">
        <v>3</v>
      </c>
      <c r="P3" s="43">
        <f>ROUNDDOWN(SUM(P4:P20),-3)</f>
        <v>74606000</v>
      </c>
      <c r="Q3" s="44">
        <f>P3-K3</f>
        <v>-2049872.2222222239</v>
      </c>
      <c r="R3" s="45">
        <f t="shared" ref="R3:R30" si="0">P3/K3</f>
        <v>0.97325877114437198</v>
      </c>
      <c r="S3" s="36" t="s">
        <v>77</v>
      </c>
    </row>
    <row r="4" spans="1:19" x14ac:dyDescent="0.2">
      <c r="A4" s="221"/>
      <c r="B4" s="46" t="s">
        <v>78</v>
      </c>
      <c r="C4" s="47" t="s">
        <v>79</v>
      </c>
      <c r="D4" s="92">
        <v>107450</v>
      </c>
      <c r="E4" s="49">
        <v>20</v>
      </c>
      <c r="F4" s="49">
        <v>1</v>
      </c>
      <c r="G4" s="50">
        <f t="shared" ref="G4:G22" si="1">D4*E4*F4</f>
        <v>2149000</v>
      </c>
      <c r="H4" s="55">
        <v>100000</v>
      </c>
      <c r="I4" s="49">
        <v>30</v>
      </c>
      <c r="J4" s="49">
        <v>2</v>
      </c>
      <c r="K4" s="51">
        <f t="shared" ref="K4:K22" si="2">H4*I4*J4</f>
        <v>6000000</v>
      </c>
      <c r="L4" s="52">
        <f t="shared" ref="L4:L31" si="3">K4-G4</f>
        <v>3851000</v>
      </c>
      <c r="M4" s="48">
        <v>140000</v>
      </c>
      <c r="N4" s="49">
        <f>60-7</f>
        <v>53</v>
      </c>
      <c r="O4" s="49">
        <v>1</v>
      </c>
      <c r="P4" s="51">
        <f t="shared" ref="P4:P22" si="4">M4*N4*O4</f>
        <v>7420000</v>
      </c>
      <c r="Q4" s="52">
        <f t="shared" ref="Q4:Q32" si="5">P4-G4</f>
        <v>5271000</v>
      </c>
      <c r="R4" s="53">
        <f t="shared" si="0"/>
        <v>1.2366666666666666</v>
      </c>
      <c r="S4" s="54" t="s">
        <v>80</v>
      </c>
    </row>
    <row r="5" spans="1:19" x14ac:dyDescent="0.2">
      <c r="A5" s="221"/>
      <c r="B5" s="46" t="s">
        <v>81</v>
      </c>
      <c r="C5" s="47" t="s">
        <v>82</v>
      </c>
      <c r="D5" s="93">
        <f>30000*27</f>
        <v>810000</v>
      </c>
      <c r="E5" s="49">
        <v>20</v>
      </c>
      <c r="F5" s="49">
        <v>1</v>
      </c>
      <c r="G5" s="50">
        <f t="shared" si="1"/>
        <v>16200000</v>
      </c>
      <c r="H5" s="55">
        <f>20000*11</f>
        <v>220000</v>
      </c>
      <c r="I5" s="49">
        <v>30</v>
      </c>
      <c r="J5" s="49">
        <v>2</v>
      </c>
      <c r="K5" s="51">
        <f t="shared" si="2"/>
        <v>13200000</v>
      </c>
      <c r="L5" s="52">
        <f t="shared" si="3"/>
        <v>-3000000</v>
      </c>
      <c r="M5" s="48">
        <f>40000*11</f>
        <v>440000</v>
      </c>
      <c r="N5" s="49">
        <f>N4</f>
        <v>53</v>
      </c>
      <c r="O5" s="49">
        <v>1</v>
      </c>
      <c r="P5" s="51">
        <f t="shared" si="4"/>
        <v>23320000</v>
      </c>
      <c r="Q5" s="52">
        <f t="shared" si="5"/>
        <v>7120000</v>
      </c>
      <c r="R5" s="53">
        <f t="shared" si="0"/>
        <v>1.7666666666666666</v>
      </c>
      <c r="S5" s="54" t="s">
        <v>154</v>
      </c>
    </row>
    <row r="6" spans="1:19" x14ac:dyDescent="0.2">
      <c r="A6" s="221"/>
      <c r="B6" s="46" t="s">
        <v>84</v>
      </c>
      <c r="C6" s="47" t="s">
        <v>85</v>
      </c>
      <c r="D6" s="92">
        <f>4298*28</f>
        <v>120344</v>
      </c>
      <c r="E6" s="49">
        <v>20</v>
      </c>
      <c r="F6" s="49">
        <v>1</v>
      </c>
      <c r="G6" s="50">
        <f t="shared" si="1"/>
        <v>2406880</v>
      </c>
      <c r="H6" s="48">
        <f>9900*12</f>
        <v>118800</v>
      </c>
      <c r="I6" s="49">
        <v>30</v>
      </c>
      <c r="J6" s="49">
        <v>2</v>
      </c>
      <c r="K6" s="51">
        <f t="shared" si="2"/>
        <v>7128000</v>
      </c>
      <c r="L6" s="52">
        <f t="shared" si="3"/>
        <v>4721120</v>
      </c>
      <c r="M6" s="48">
        <f>9900*12</f>
        <v>118800</v>
      </c>
      <c r="N6" s="49">
        <f>N4</f>
        <v>53</v>
      </c>
      <c r="O6" s="49">
        <v>1</v>
      </c>
      <c r="P6" s="51">
        <f t="shared" si="4"/>
        <v>6296400</v>
      </c>
      <c r="Q6" s="52">
        <f t="shared" si="5"/>
        <v>3889520</v>
      </c>
      <c r="R6" s="53">
        <f t="shared" si="0"/>
        <v>0.8833333333333333</v>
      </c>
      <c r="S6" s="54" t="s">
        <v>155</v>
      </c>
    </row>
    <row r="7" spans="1:19" x14ac:dyDescent="0.2">
      <c r="A7" s="221"/>
      <c r="B7" s="46" t="s">
        <v>87</v>
      </c>
      <c r="C7" s="47" t="s">
        <v>88</v>
      </c>
      <c r="D7" s="92">
        <v>126712.96296296296</v>
      </c>
      <c r="E7" s="49">
        <v>1</v>
      </c>
      <c r="F7" s="49">
        <v>1</v>
      </c>
      <c r="G7" s="50">
        <f t="shared" si="1"/>
        <v>126712.96296296296</v>
      </c>
      <c r="H7" s="48">
        <f>D7</f>
        <v>126712.96296296296</v>
      </c>
      <c r="I7" s="49">
        <v>95</v>
      </c>
      <c r="J7" s="49">
        <v>1</v>
      </c>
      <c r="K7" s="51">
        <f t="shared" si="2"/>
        <v>12037731.481481481</v>
      </c>
      <c r="L7" s="52">
        <f t="shared" si="3"/>
        <v>11911018.518518519</v>
      </c>
      <c r="M7" s="48">
        <f>180000*2/20</f>
        <v>18000</v>
      </c>
      <c r="N7" s="49">
        <v>20</v>
      </c>
      <c r="O7" s="49">
        <v>3</v>
      </c>
      <c r="P7" s="51">
        <f t="shared" si="4"/>
        <v>1080000</v>
      </c>
      <c r="Q7" s="52">
        <f t="shared" si="5"/>
        <v>953287.03703703708</v>
      </c>
      <c r="R7" s="53">
        <f t="shared" si="0"/>
        <v>8.9717900890333255E-2</v>
      </c>
      <c r="S7" s="54" t="s">
        <v>80</v>
      </c>
    </row>
    <row r="8" spans="1:19" x14ac:dyDescent="0.2">
      <c r="A8" s="221"/>
      <c r="B8" s="46" t="s">
        <v>89</v>
      </c>
      <c r="C8" s="47" t="s">
        <v>90</v>
      </c>
      <c r="D8" s="92">
        <v>30351.85185185185</v>
      </c>
      <c r="E8" s="49">
        <v>20</v>
      </c>
      <c r="F8" s="49">
        <v>1</v>
      </c>
      <c r="G8" s="50">
        <f t="shared" si="1"/>
        <v>607037.03703703696</v>
      </c>
      <c r="H8" s="48">
        <v>80000</v>
      </c>
      <c r="I8" s="49">
        <v>95</v>
      </c>
      <c r="J8" s="49">
        <v>1</v>
      </c>
      <c r="K8" s="51">
        <f t="shared" si="2"/>
        <v>7600000</v>
      </c>
      <c r="L8" s="52">
        <f t="shared" si="3"/>
        <v>6992962.9629629627</v>
      </c>
      <c r="M8" s="48">
        <v>80000</v>
      </c>
      <c r="N8" s="49">
        <v>20</v>
      </c>
      <c r="O8" s="49">
        <v>3</v>
      </c>
      <c r="P8" s="51">
        <f t="shared" si="4"/>
        <v>4800000</v>
      </c>
      <c r="Q8" s="52">
        <f t="shared" si="5"/>
        <v>4192962.9629629632</v>
      </c>
      <c r="R8" s="53">
        <f t="shared" si="0"/>
        <v>0.63157894736842102</v>
      </c>
      <c r="S8" s="54" t="s">
        <v>80</v>
      </c>
    </row>
    <row r="9" spans="1:19" x14ac:dyDescent="0.2">
      <c r="A9" s="221"/>
      <c r="B9" s="46" t="s">
        <v>91</v>
      </c>
      <c r="C9" s="47" t="s">
        <v>92</v>
      </c>
      <c r="D9" s="92">
        <v>943150</v>
      </c>
      <c r="E9" s="49">
        <v>1</v>
      </c>
      <c r="F9" s="49">
        <v>2</v>
      </c>
      <c r="G9" s="50">
        <f t="shared" si="1"/>
        <v>1886300</v>
      </c>
      <c r="H9" s="48">
        <v>1800000</v>
      </c>
      <c r="I9" s="49">
        <v>1</v>
      </c>
      <c r="J9" s="49">
        <v>3</v>
      </c>
      <c r="K9" s="51">
        <f t="shared" si="2"/>
        <v>5400000</v>
      </c>
      <c r="L9" s="52">
        <f t="shared" si="3"/>
        <v>3513700</v>
      </c>
      <c r="M9" s="48">
        <v>1800000</v>
      </c>
      <c r="N9" s="49">
        <v>1</v>
      </c>
      <c r="O9" s="49">
        <v>3</v>
      </c>
      <c r="P9" s="51">
        <f t="shared" si="4"/>
        <v>5400000</v>
      </c>
      <c r="Q9" s="52">
        <f t="shared" si="5"/>
        <v>3513700</v>
      </c>
      <c r="R9" s="53">
        <f t="shared" si="0"/>
        <v>1</v>
      </c>
      <c r="S9" s="54" t="s">
        <v>80</v>
      </c>
    </row>
    <row r="10" spans="1:19" x14ac:dyDescent="0.2">
      <c r="A10" s="221"/>
      <c r="B10" s="46" t="s">
        <v>93</v>
      </c>
      <c r="C10" s="47" t="s">
        <v>94</v>
      </c>
      <c r="D10" s="92">
        <v>36666.666666666664</v>
      </c>
      <c r="E10" s="49">
        <v>20</v>
      </c>
      <c r="F10" s="49">
        <v>1</v>
      </c>
      <c r="G10" s="50">
        <f t="shared" si="1"/>
        <v>733333.33333333326</v>
      </c>
      <c r="H10" s="48">
        <v>8000</v>
      </c>
      <c r="I10" s="49">
        <v>95</v>
      </c>
      <c r="J10" s="49">
        <v>1</v>
      </c>
      <c r="K10" s="51">
        <f t="shared" si="2"/>
        <v>760000</v>
      </c>
      <c r="L10" s="52">
        <f t="shared" si="3"/>
        <v>26666.666666666744</v>
      </c>
      <c r="M10" s="48">
        <v>8000</v>
      </c>
      <c r="N10" s="49">
        <v>20</v>
      </c>
      <c r="O10" s="49">
        <v>3</v>
      </c>
      <c r="P10" s="51">
        <f t="shared" si="4"/>
        <v>480000</v>
      </c>
      <c r="Q10" s="52">
        <f t="shared" si="5"/>
        <v>-253333.33333333326</v>
      </c>
      <c r="R10" s="53">
        <f t="shared" si="0"/>
        <v>0.63157894736842102</v>
      </c>
      <c r="S10" s="54" t="s">
        <v>80</v>
      </c>
    </row>
    <row r="11" spans="1:19" x14ac:dyDescent="0.2">
      <c r="A11" s="221"/>
      <c r="B11" s="46" t="s">
        <v>95</v>
      </c>
      <c r="C11" s="47" t="s">
        <v>96</v>
      </c>
      <c r="D11" s="92">
        <v>0</v>
      </c>
      <c r="E11" s="49">
        <v>0</v>
      </c>
      <c r="F11" s="49">
        <v>1</v>
      </c>
      <c r="G11" s="50">
        <f t="shared" si="1"/>
        <v>0</v>
      </c>
      <c r="H11" s="48">
        <v>5000</v>
      </c>
      <c r="I11" s="49">
        <v>1</v>
      </c>
      <c r="J11" s="49">
        <v>3</v>
      </c>
      <c r="K11" s="51">
        <f t="shared" si="2"/>
        <v>15000</v>
      </c>
      <c r="L11" s="52">
        <f t="shared" si="3"/>
        <v>15000</v>
      </c>
      <c r="M11" s="48">
        <v>5000</v>
      </c>
      <c r="N11" s="49">
        <v>1</v>
      </c>
      <c r="O11" s="49">
        <v>3</v>
      </c>
      <c r="P11" s="51">
        <f t="shared" si="4"/>
        <v>15000</v>
      </c>
      <c r="Q11" s="52">
        <f t="shared" si="5"/>
        <v>15000</v>
      </c>
      <c r="R11" s="53">
        <f t="shared" si="0"/>
        <v>1</v>
      </c>
      <c r="S11" s="54"/>
    </row>
    <row r="12" spans="1:19" ht="57.6" x14ac:dyDescent="0.2">
      <c r="A12" s="221"/>
      <c r="B12" s="46" t="s">
        <v>97</v>
      </c>
      <c r="C12" s="47" t="s">
        <v>30</v>
      </c>
      <c r="D12" s="92">
        <v>19400</v>
      </c>
      <c r="E12" s="49">
        <v>26</v>
      </c>
      <c r="F12" s="49">
        <v>1</v>
      </c>
      <c r="G12" s="50">
        <f t="shared" si="1"/>
        <v>504400</v>
      </c>
      <c r="H12" s="48">
        <v>600000</v>
      </c>
      <c r="I12" s="49">
        <v>1</v>
      </c>
      <c r="J12" s="49">
        <v>3</v>
      </c>
      <c r="K12" s="51">
        <f t="shared" si="2"/>
        <v>1800000</v>
      </c>
      <c r="L12" s="52">
        <f t="shared" si="3"/>
        <v>1295600</v>
      </c>
      <c r="M12" s="48">
        <v>600000</v>
      </c>
      <c r="N12" s="49">
        <v>1</v>
      </c>
      <c r="O12" s="49">
        <v>3</v>
      </c>
      <c r="P12" s="51">
        <f t="shared" si="4"/>
        <v>1800000</v>
      </c>
      <c r="Q12" s="52">
        <f t="shared" si="5"/>
        <v>1295600</v>
      </c>
      <c r="R12" s="53">
        <f t="shared" si="0"/>
        <v>1</v>
      </c>
      <c r="S12" s="54" t="s">
        <v>156</v>
      </c>
    </row>
    <row r="13" spans="1:19" x14ac:dyDescent="0.2">
      <c r="A13" s="221"/>
      <c r="B13" s="46" t="s">
        <v>99</v>
      </c>
      <c r="C13" s="47" t="s">
        <v>100</v>
      </c>
      <c r="D13" s="92"/>
      <c r="E13" s="49">
        <v>1</v>
      </c>
      <c r="F13" s="49">
        <v>20</v>
      </c>
      <c r="G13" s="50">
        <f t="shared" si="1"/>
        <v>0</v>
      </c>
      <c r="H13" s="48">
        <v>34000</v>
      </c>
      <c r="I13" s="49">
        <v>1</v>
      </c>
      <c r="J13" s="49">
        <v>3</v>
      </c>
      <c r="K13" s="51">
        <f t="shared" si="2"/>
        <v>102000</v>
      </c>
      <c r="L13" s="52">
        <f t="shared" si="3"/>
        <v>102000</v>
      </c>
      <c r="M13" s="48">
        <v>34000</v>
      </c>
      <c r="N13" s="49">
        <v>1</v>
      </c>
      <c r="O13" s="49">
        <v>3</v>
      </c>
      <c r="P13" s="51">
        <f t="shared" si="4"/>
        <v>102000</v>
      </c>
      <c r="Q13" s="52">
        <f t="shared" si="5"/>
        <v>102000</v>
      </c>
      <c r="R13" s="53">
        <f t="shared" si="0"/>
        <v>1</v>
      </c>
      <c r="S13" s="54" t="s">
        <v>80</v>
      </c>
    </row>
    <row r="14" spans="1:19" x14ac:dyDescent="0.2">
      <c r="A14" s="221"/>
      <c r="B14" s="46" t="s">
        <v>101</v>
      </c>
      <c r="C14" s="47" t="s">
        <v>102</v>
      </c>
      <c r="D14" s="92">
        <v>10000</v>
      </c>
      <c r="E14" s="49">
        <v>1</v>
      </c>
      <c r="F14" s="49">
        <v>5</v>
      </c>
      <c r="G14" s="50">
        <f t="shared" si="1"/>
        <v>50000</v>
      </c>
      <c r="H14" s="48">
        <v>70000</v>
      </c>
      <c r="I14" s="49">
        <v>1</v>
      </c>
      <c r="J14" s="49">
        <v>3</v>
      </c>
      <c r="K14" s="51">
        <f t="shared" si="2"/>
        <v>210000</v>
      </c>
      <c r="L14" s="52">
        <f t="shared" si="3"/>
        <v>160000</v>
      </c>
      <c r="M14" s="48">
        <v>70000</v>
      </c>
      <c r="N14" s="49">
        <v>1</v>
      </c>
      <c r="O14" s="49">
        <v>3</v>
      </c>
      <c r="P14" s="51">
        <f t="shared" si="4"/>
        <v>210000</v>
      </c>
      <c r="Q14" s="52">
        <f t="shared" si="5"/>
        <v>160000</v>
      </c>
      <c r="R14" s="53">
        <f t="shared" si="0"/>
        <v>1</v>
      </c>
      <c r="S14" s="54" t="s">
        <v>157</v>
      </c>
    </row>
    <row r="15" spans="1:19" x14ac:dyDescent="0.2">
      <c r="A15" s="221"/>
      <c r="B15" s="46" t="s">
        <v>104</v>
      </c>
      <c r="C15" s="47" t="s">
        <v>105</v>
      </c>
      <c r="D15" s="92">
        <v>311500</v>
      </c>
      <c r="E15" s="49">
        <v>1</v>
      </c>
      <c r="F15" s="49">
        <v>2</v>
      </c>
      <c r="G15" s="50">
        <f t="shared" si="1"/>
        <v>623000</v>
      </c>
      <c r="H15" s="48">
        <v>1000000</v>
      </c>
      <c r="I15" s="49">
        <v>1</v>
      </c>
      <c r="J15" s="49">
        <v>3</v>
      </c>
      <c r="K15" s="51">
        <f t="shared" si="2"/>
        <v>3000000</v>
      </c>
      <c r="L15" s="52">
        <f t="shared" si="3"/>
        <v>2377000</v>
      </c>
      <c r="M15" s="48">
        <v>1000000</v>
      </c>
      <c r="N15" s="49">
        <v>1</v>
      </c>
      <c r="O15" s="49">
        <v>3</v>
      </c>
      <c r="P15" s="51">
        <f t="shared" si="4"/>
        <v>3000000</v>
      </c>
      <c r="Q15" s="52">
        <f t="shared" si="5"/>
        <v>2377000</v>
      </c>
      <c r="R15" s="53">
        <f t="shared" si="0"/>
        <v>1</v>
      </c>
      <c r="S15" s="54" t="s">
        <v>158</v>
      </c>
    </row>
    <row r="16" spans="1:19" x14ac:dyDescent="0.2">
      <c r="A16" s="221"/>
      <c r="B16" s="46" t="s">
        <v>106</v>
      </c>
      <c r="C16" s="47" t="s">
        <v>107</v>
      </c>
      <c r="D16" s="92">
        <v>407358.33333333331</v>
      </c>
      <c r="E16" s="49">
        <v>1</v>
      </c>
      <c r="F16" s="49">
        <v>2</v>
      </c>
      <c r="G16" s="50">
        <f t="shared" si="1"/>
        <v>814716.66666666663</v>
      </c>
      <c r="H16" s="48">
        <v>1800000</v>
      </c>
      <c r="I16" s="49">
        <v>1</v>
      </c>
      <c r="J16" s="49">
        <v>3</v>
      </c>
      <c r="K16" s="51">
        <f t="shared" si="2"/>
        <v>5400000</v>
      </c>
      <c r="L16" s="52">
        <f t="shared" si="3"/>
        <v>4585283.333333333</v>
      </c>
      <c r="M16" s="48">
        <v>1800000</v>
      </c>
      <c r="N16" s="49">
        <v>1</v>
      </c>
      <c r="O16" s="49">
        <v>3</v>
      </c>
      <c r="P16" s="51">
        <f t="shared" si="4"/>
        <v>5400000</v>
      </c>
      <c r="Q16" s="52">
        <f t="shared" si="5"/>
        <v>4585283.333333333</v>
      </c>
      <c r="R16" s="53">
        <f t="shared" si="0"/>
        <v>1</v>
      </c>
      <c r="S16" s="54" t="s">
        <v>80</v>
      </c>
    </row>
    <row r="17" spans="1:19" ht="28.8" x14ac:dyDescent="0.2">
      <c r="A17" s="221"/>
      <c r="B17" s="46" t="s">
        <v>108</v>
      </c>
      <c r="C17" s="47" t="s">
        <v>109</v>
      </c>
      <c r="D17" s="92">
        <f>1812600/12*28</f>
        <v>4229400</v>
      </c>
      <c r="E17" s="49">
        <v>1</v>
      </c>
      <c r="F17" s="49">
        <v>2</v>
      </c>
      <c r="G17" s="50">
        <f t="shared" si="1"/>
        <v>8458800</v>
      </c>
      <c r="H17" s="48">
        <f>379000+106600+1024800+369800+342000</f>
        <v>2222200</v>
      </c>
      <c r="I17" s="49">
        <v>1</v>
      </c>
      <c r="J17" s="49">
        <v>3</v>
      </c>
      <c r="K17" s="51">
        <f t="shared" si="2"/>
        <v>6666600</v>
      </c>
      <c r="L17" s="52">
        <f t="shared" si="3"/>
        <v>-1792200</v>
      </c>
      <c r="M17" s="48">
        <f>379000+106600+1024800+369800+342000</f>
        <v>2222200</v>
      </c>
      <c r="N17" s="49">
        <v>1</v>
      </c>
      <c r="O17" s="49">
        <v>3</v>
      </c>
      <c r="P17" s="51">
        <f t="shared" si="4"/>
        <v>6666600</v>
      </c>
      <c r="Q17" s="52">
        <f t="shared" si="5"/>
        <v>-1792200</v>
      </c>
      <c r="R17" s="53">
        <f t="shared" si="0"/>
        <v>1</v>
      </c>
      <c r="S17" s="54" t="s">
        <v>159</v>
      </c>
    </row>
    <row r="18" spans="1:19" x14ac:dyDescent="0.2">
      <c r="A18" s="221"/>
      <c r="B18" s="46" t="s">
        <v>110</v>
      </c>
      <c r="C18" s="47" t="s">
        <v>111</v>
      </c>
      <c r="D18" s="92">
        <v>746440.74074074079</v>
      </c>
      <c r="E18" s="49">
        <v>1</v>
      </c>
      <c r="F18" s="49">
        <v>2</v>
      </c>
      <c r="G18" s="50">
        <f t="shared" si="1"/>
        <v>1492881.4814814816</v>
      </c>
      <c r="H18" s="48">
        <f>1152000+800000+400000</f>
        <v>2352000</v>
      </c>
      <c r="I18" s="49">
        <v>1</v>
      </c>
      <c r="J18" s="49">
        <v>3</v>
      </c>
      <c r="K18" s="51">
        <f t="shared" si="2"/>
        <v>7056000</v>
      </c>
      <c r="L18" s="52">
        <f t="shared" si="3"/>
        <v>5563118.5185185187</v>
      </c>
      <c r="M18" s="48">
        <f>1152000+800000+400000</f>
        <v>2352000</v>
      </c>
      <c r="N18" s="49">
        <v>1</v>
      </c>
      <c r="O18" s="49">
        <v>3</v>
      </c>
      <c r="P18" s="51">
        <f t="shared" si="4"/>
        <v>7056000</v>
      </c>
      <c r="Q18" s="52">
        <f t="shared" si="5"/>
        <v>5563118.5185185187</v>
      </c>
      <c r="R18" s="53">
        <f t="shared" si="0"/>
        <v>1</v>
      </c>
      <c r="S18" s="54" t="s">
        <v>80</v>
      </c>
    </row>
    <row r="19" spans="1:19" x14ac:dyDescent="0.2">
      <c r="A19" s="221"/>
      <c r="B19" s="46" t="s">
        <v>112</v>
      </c>
      <c r="C19" s="47" t="s">
        <v>113</v>
      </c>
      <c r="D19" s="92">
        <v>134970.37037037036</v>
      </c>
      <c r="E19" s="49">
        <v>1</v>
      </c>
      <c r="F19" s="49">
        <v>2</v>
      </c>
      <c r="G19" s="50">
        <f>D19*E19*F19</f>
        <v>269940.74074074073</v>
      </c>
      <c r="H19" s="48">
        <f>G19</f>
        <v>269940.74074074073</v>
      </c>
      <c r="I19" s="49">
        <v>1</v>
      </c>
      <c r="J19" s="49">
        <v>1</v>
      </c>
      <c r="K19" s="51">
        <f>H19*I19*J19</f>
        <v>269940.74074074073</v>
      </c>
      <c r="L19" s="52">
        <f>K19-G19</f>
        <v>0</v>
      </c>
      <c r="M19" s="48">
        <f>20000*60+5000*72</f>
        <v>1560000</v>
      </c>
      <c r="N19" s="49">
        <v>1</v>
      </c>
      <c r="O19" s="49">
        <v>1</v>
      </c>
      <c r="P19" s="51">
        <f>M19*N19*O19</f>
        <v>1560000</v>
      </c>
      <c r="Q19" s="52">
        <f>P19-G19</f>
        <v>1290059.2592592593</v>
      </c>
      <c r="R19" s="53">
        <f>P19/K19</f>
        <v>5.7790461555348225</v>
      </c>
      <c r="S19" s="54" t="s">
        <v>80</v>
      </c>
    </row>
    <row r="20" spans="1:19" x14ac:dyDescent="0.2">
      <c r="A20" s="221"/>
      <c r="B20" s="46" t="s">
        <v>114</v>
      </c>
      <c r="C20" s="47" t="s">
        <v>115</v>
      </c>
      <c r="D20" s="92">
        <v>560</v>
      </c>
      <c r="E20" s="49">
        <v>20</v>
      </c>
      <c r="F20" s="49">
        <v>1</v>
      </c>
      <c r="G20" s="50">
        <f t="shared" si="1"/>
        <v>11200</v>
      </c>
      <c r="H20" s="48">
        <f>G20</f>
        <v>11200</v>
      </c>
      <c r="I20" s="49">
        <v>1</v>
      </c>
      <c r="J20" s="49">
        <v>1</v>
      </c>
      <c r="K20" s="51">
        <f t="shared" si="2"/>
        <v>11200</v>
      </c>
      <c r="L20" s="52">
        <f t="shared" si="3"/>
        <v>0</v>
      </c>
      <c r="M20" s="48">
        <v>0</v>
      </c>
      <c r="N20" s="49">
        <v>0</v>
      </c>
      <c r="O20" s="49">
        <v>0</v>
      </c>
      <c r="P20" s="51">
        <f t="shared" si="4"/>
        <v>0</v>
      </c>
      <c r="Q20" s="52">
        <f t="shared" si="5"/>
        <v>-11200</v>
      </c>
      <c r="R20" s="53" t="s">
        <v>116</v>
      </c>
      <c r="S20" s="54" t="s">
        <v>80</v>
      </c>
    </row>
    <row r="21" spans="1:19" ht="57.6" x14ac:dyDescent="0.2">
      <c r="A21" s="221"/>
      <c r="B21" s="46" t="s">
        <v>117</v>
      </c>
      <c r="C21" s="47" t="s">
        <v>118</v>
      </c>
      <c r="D21" s="92">
        <v>51200</v>
      </c>
      <c r="E21" s="49">
        <v>20</v>
      </c>
      <c r="F21" s="49">
        <v>1</v>
      </c>
      <c r="G21" s="50">
        <f t="shared" si="1"/>
        <v>1024000</v>
      </c>
      <c r="H21" s="48"/>
      <c r="I21" s="49"/>
      <c r="J21" s="49"/>
      <c r="K21" s="51"/>
      <c r="L21" s="52"/>
      <c r="M21" s="48"/>
      <c r="N21" s="49"/>
      <c r="O21" s="49"/>
      <c r="P21" s="51"/>
      <c r="Q21" s="52"/>
      <c r="R21" s="53"/>
      <c r="S21" s="54" t="s">
        <v>160</v>
      </c>
    </row>
    <row r="22" spans="1:19" x14ac:dyDescent="0.2">
      <c r="A22" s="221"/>
      <c r="B22" s="46"/>
      <c r="C22" s="47" t="s">
        <v>125</v>
      </c>
      <c r="D22" s="92"/>
      <c r="E22" s="49"/>
      <c r="F22" s="49"/>
      <c r="G22" s="50">
        <f t="shared" si="1"/>
        <v>0</v>
      </c>
      <c r="H22" s="48"/>
      <c r="I22" s="49"/>
      <c r="J22" s="49"/>
      <c r="K22" s="51">
        <f t="shared" si="2"/>
        <v>0</v>
      </c>
      <c r="L22" s="52">
        <f t="shared" si="3"/>
        <v>0</v>
      </c>
      <c r="M22" s="48"/>
      <c r="N22" s="49"/>
      <c r="O22" s="49"/>
      <c r="P22" s="51">
        <f t="shared" si="4"/>
        <v>0</v>
      </c>
      <c r="Q22" s="52">
        <f t="shared" si="5"/>
        <v>0</v>
      </c>
      <c r="R22" s="53" t="e">
        <f t="shared" si="0"/>
        <v>#DIV/0!</v>
      </c>
      <c r="S22" s="56"/>
    </row>
    <row r="23" spans="1:19" x14ac:dyDescent="0.2">
      <c r="A23" s="64" t="s">
        <v>126</v>
      </c>
      <c r="B23" s="65"/>
      <c r="C23" s="38"/>
      <c r="D23" s="94" t="s">
        <v>75</v>
      </c>
      <c r="E23" s="57" t="s">
        <v>127</v>
      </c>
      <c r="F23" s="66">
        <f>SUM(E24:E26)</f>
        <v>90</v>
      </c>
      <c r="G23" s="58">
        <f>ROUNDDOWN(SUM(G24:G26),-3)</f>
        <v>4242000</v>
      </c>
      <c r="H23" s="61" t="s">
        <v>75</v>
      </c>
      <c r="I23" s="57" t="s">
        <v>128</v>
      </c>
      <c r="J23" s="66">
        <f>SUM(I24:I26)</f>
        <v>24.34</v>
      </c>
      <c r="K23" s="59">
        <f>SUM(K24:K26)-500</f>
        <v>22618700</v>
      </c>
      <c r="L23" s="60">
        <f t="shared" si="3"/>
        <v>18376700</v>
      </c>
      <c r="M23" s="61" t="s">
        <v>129</v>
      </c>
      <c r="N23" s="57" t="s">
        <v>127</v>
      </c>
      <c r="O23" s="66">
        <f>SUM(N24:N26)</f>
        <v>490</v>
      </c>
      <c r="P23" s="59">
        <f>ROUNDDOWN(SUM(P24:P26),-3)</f>
        <v>22792000</v>
      </c>
      <c r="Q23" s="60">
        <f t="shared" si="5"/>
        <v>18550000</v>
      </c>
      <c r="R23" s="45">
        <f t="shared" si="0"/>
        <v>1.007661801960325</v>
      </c>
      <c r="S23" s="36" t="s">
        <v>77</v>
      </c>
    </row>
    <row r="24" spans="1:19" x14ac:dyDescent="0.2">
      <c r="A24" s="222"/>
      <c r="B24" s="46" t="s">
        <v>78</v>
      </c>
      <c r="C24" s="47" t="s">
        <v>130</v>
      </c>
      <c r="D24" s="92">
        <v>57400</v>
      </c>
      <c r="E24" s="67">
        <v>30</v>
      </c>
      <c r="F24" s="68"/>
      <c r="G24" s="50">
        <f>D24*E24</f>
        <v>1722000</v>
      </c>
      <c r="H24" s="48">
        <v>1234000</v>
      </c>
      <c r="I24" s="67">
        <v>5.17</v>
      </c>
      <c r="J24" s="49" t="s">
        <v>131</v>
      </c>
      <c r="K24" s="51">
        <f>H24*I24</f>
        <v>6379780</v>
      </c>
      <c r="L24" s="52">
        <f t="shared" si="3"/>
        <v>4657780</v>
      </c>
      <c r="M24" s="48">
        <v>61700</v>
      </c>
      <c r="N24" s="67">
        <v>105</v>
      </c>
      <c r="O24" s="49" t="s">
        <v>132</v>
      </c>
      <c r="P24" s="51">
        <f>M24*N24</f>
        <v>6478500</v>
      </c>
      <c r="Q24" s="52">
        <f t="shared" si="5"/>
        <v>4756500</v>
      </c>
      <c r="R24" s="53">
        <f t="shared" si="0"/>
        <v>1.0154738878143132</v>
      </c>
      <c r="S24" s="54" t="s">
        <v>133</v>
      </c>
    </row>
    <row r="25" spans="1:19" x14ac:dyDescent="0.2">
      <c r="A25" s="223"/>
      <c r="B25" s="46" t="s">
        <v>134</v>
      </c>
      <c r="C25" s="47" t="s">
        <v>135</v>
      </c>
      <c r="D25" s="92">
        <v>51200</v>
      </c>
      <c r="E25" s="67">
        <v>30</v>
      </c>
      <c r="F25" s="49"/>
      <c r="G25" s="50">
        <f>D25*E25</f>
        <v>1536000</v>
      </c>
      <c r="H25" s="48">
        <v>926000</v>
      </c>
      <c r="I25" s="67">
        <v>10.17</v>
      </c>
      <c r="J25" s="49" t="s">
        <v>136</v>
      </c>
      <c r="K25" s="51">
        <f>H25*I25</f>
        <v>9417420</v>
      </c>
      <c r="L25" s="52">
        <f t="shared" si="3"/>
        <v>7881420</v>
      </c>
      <c r="M25" s="48">
        <v>46300</v>
      </c>
      <c r="N25" s="67">
        <v>205</v>
      </c>
      <c r="O25" s="49" t="s">
        <v>137</v>
      </c>
      <c r="P25" s="51">
        <f>M25*N25</f>
        <v>9491500</v>
      </c>
      <c r="Q25" s="52">
        <f t="shared" si="5"/>
        <v>7955500</v>
      </c>
      <c r="R25" s="53">
        <f t="shared" si="0"/>
        <v>1.0078662733529991</v>
      </c>
      <c r="S25" s="54" t="s">
        <v>133</v>
      </c>
    </row>
    <row r="26" spans="1:19" x14ac:dyDescent="0.2">
      <c r="A26" s="223"/>
      <c r="B26" s="46" t="s">
        <v>138</v>
      </c>
      <c r="C26" s="47" t="s">
        <v>139</v>
      </c>
      <c r="D26" s="92">
        <v>32800</v>
      </c>
      <c r="E26" s="67">
        <v>30</v>
      </c>
      <c r="F26" s="49"/>
      <c r="G26" s="50">
        <f>D26*E26</f>
        <v>984000</v>
      </c>
      <c r="H26" s="48">
        <v>758000</v>
      </c>
      <c r="I26" s="67">
        <v>9</v>
      </c>
      <c r="J26" s="49" t="s">
        <v>140</v>
      </c>
      <c r="K26" s="51">
        <f>H26*I26</f>
        <v>6822000</v>
      </c>
      <c r="L26" s="52">
        <f t="shared" si="3"/>
        <v>5838000</v>
      </c>
      <c r="M26" s="48">
        <v>37900</v>
      </c>
      <c r="N26" s="67">
        <v>180</v>
      </c>
      <c r="O26" s="49" t="s">
        <v>140</v>
      </c>
      <c r="P26" s="51">
        <f>M26*N26</f>
        <v>6822000</v>
      </c>
      <c r="Q26" s="52">
        <f t="shared" si="5"/>
        <v>5838000</v>
      </c>
      <c r="R26" s="53">
        <f t="shared" si="0"/>
        <v>1</v>
      </c>
      <c r="S26" s="54" t="s">
        <v>133</v>
      </c>
    </row>
    <row r="27" spans="1:19" x14ac:dyDescent="0.2">
      <c r="A27" s="64" t="s">
        <v>141</v>
      </c>
      <c r="B27" s="69"/>
      <c r="C27" s="38" t="s">
        <v>142</v>
      </c>
      <c r="D27" s="95"/>
      <c r="E27" s="59"/>
      <c r="F27" s="62"/>
      <c r="G27" s="58">
        <f>ROUNDDOWN((G28+G29),-3)</f>
        <v>4963000</v>
      </c>
      <c r="H27" s="70"/>
      <c r="I27" s="59"/>
      <c r="J27" s="62"/>
      <c r="K27" s="59">
        <f>K28+K29</f>
        <v>32147000</v>
      </c>
      <c r="L27" s="60">
        <f t="shared" si="3"/>
        <v>27184000</v>
      </c>
      <c r="M27" s="70"/>
      <c r="N27" s="59"/>
      <c r="O27" s="62"/>
      <c r="P27" s="59">
        <f>ROUNDDOWN((P28+P29),-3)</f>
        <v>26665000</v>
      </c>
      <c r="Q27" s="60">
        <f t="shared" si="5"/>
        <v>21702000</v>
      </c>
      <c r="R27" s="45">
        <f t="shared" si="0"/>
        <v>0.8294708681992099</v>
      </c>
      <c r="S27" s="36" t="s">
        <v>143</v>
      </c>
    </row>
    <row r="28" spans="1:19" x14ac:dyDescent="0.2">
      <c r="A28" s="71"/>
      <c r="B28" s="46"/>
      <c r="C28" s="47" t="s">
        <v>144</v>
      </c>
      <c r="D28" s="92" t="s">
        <v>145</v>
      </c>
      <c r="E28" s="49"/>
      <c r="F28" s="49"/>
      <c r="G28" s="51">
        <f>ROUNDDOWN(G23*0.55,-3)</f>
        <v>2333000</v>
      </c>
      <c r="H28" s="48" t="s">
        <v>145</v>
      </c>
      <c r="I28" s="49"/>
      <c r="J28" s="49"/>
      <c r="K28" s="51">
        <v>15112000</v>
      </c>
      <c r="L28" s="52">
        <f t="shared" si="3"/>
        <v>12779000</v>
      </c>
      <c r="M28" s="48" t="s">
        <v>145</v>
      </c>
      <c r="N28" s="49"/>
      <c r="O28" s="49"/>
      <c r="P28" s="51">
        <f>ROUNDDOWN(P23*0.55,-3)</f>
        <v>12535000</v>
      </c>
      <c r="Q28" s="52">
        <f t="shared" si="5"/>
        <v>10202000</v>
      </c>
      <c r="R28" s="53">
        <f t="shared" si="0"/>
        <v>0.82947326627845419</v>
      </c>
      <c r="S28" s="54"/>
    </row>
    <row r="29" spans="1:19" x14ac:dyDescent="0.2">
      <c r="A29" s="71"/>
      <c r="B29" s="46"/>
      <c r="C29" s="47" t="s">
        <v>146</v>
      </c>
      <c r="D29" s="92" t="s">
        <v>147</v>
      </c>
      <c r="E29" s="49"/>
      <c r="F29" s="49"/>
      <c r="G29" s="51">
        <f>ROUNDDOWN((G23+G28)*0.4,-3)</f>
        <v>2630000</v>
      </c>
      <c r="H29" s="48" t="s">
        <v>147</v>
      </c>
      <c r="I29" s="49"/>
      <c r="J29" s="49"/>
      <c r="K29" s="51">
        <v>17035000</v>
      </c>
      <c r="L29" s="52">
        <f t="shared" si="3"/>
        <v>14405000</v>
      </c>
      <c r="M29" s="48" t="s">
        <v>147</v>
      </c>
      <c r="N29" s="49"/>
      <c r="O29" s="49"/>
      <c r="P29" s="51">
        <f>ROUNDDOWN((P23+P28)*0.4,-3)</f>
        <v>14130000</v>
      </c>
      <c r="Q29" s="52">
        <f t="shared" si="5"/>
        <v>11500000</v>
      </c>
      <c r="R29" s="53">
        <f t="shared" si="0"/>
        <v>0.82946874082770761</v>
      </c>
      <c r="S29" s="54"/>
    </row>
    <row r="30" spans="1:19" x14ac:dyDescent="0.2">
      <c r="A30" s="64" t="s">
        <v>148</v>
      </c>
      <c r="B30" s="69"/>
      <c r="C30" s="72" t="s">
        <v>149</v>
      </c>
      <c r="D30" s="95"/>
      <c r="E30" s="59"/>
      <c r="F30" s="59"/>
      <c r="G30" s="58">
        <f>(G3+G23+G27)*0.1</f>
        <v>4553900</v>
      </c>
      <c r="H30" s="70"/>
      <c r="I30" s="59"/>
      <c r="J30" s="59"/>
      <c r="K30" s="59" t="e">
        <f>(K3+#REF!+#REF!+K23+K27-#REF!)*0.08</f>
        <v>#REF!</v>
      </c>
      <c r="L30" s="60" t="e">
        <f t="shared" si="3"/>
        <v>#REF!</v>
      </c>
      <c r="M30" s="70"/>
      <c r="N30" s="59"/>
      <c r="O30" s="38" t="s">
        <v>150</v>
      </c>
      <c r="P30" s="59" t="e">
        <f>(P3+#REF!+#REF!+P23+P27)*0.08</f>
        <v>#REF!</v>
      </c>
      <c r="Q30" s="60" t="e">
        <f t="shared" si="5"/>
        <v>#REF!</v>
      </c>
      <c r="R30" s="45" t="e">
        <f t="shared" si="0"/>
        <v>#REF!</v>
      </c>
      <c r="S30" s="36"/>
    </row>
    <row r="31" spans="1:19" x14ac:dyDescent="0.2">
      <c r="A31" s="71"/>
      <c r="B31" s="46"/>
      <c r="C31" s="47"/>
      <c r="D31" s="92"/>
      <c r="E31" s="49"/>
      <c r="F31" s="49"/>
      <c r="G31" s="50"/>
      <c r="H31" s="48"/>
      <c r="I31" s="49"/>
      <c r="J31" s="49"/>
      <c r="K31" s="51"/>
      <c r="L31" s="52">
        <f t="shared" si="3"/>
        <v>0</v>
      </c>
      <c r="M31" s="48"/>
      <c r="N31" s="49"/>
      <c r="O31" s="49"/>
      <c r="P31" s="51"/>
      <c r="Q31" s="52">
        <f t="shared" si="5"/>
        <v>0</v>
      </c>
      <c r="R31" s="53"/>
      <c r="S31" s="63" t="s">
        <v>151</v>
      </c>
    </row>
    <row r="32" spans="1:19" ht="15" thickBot="1" x14ac:dyDescent="0.25">
      <c r="A32" s="36"/>
      <c r="B32" s="25"/>
      <c r="C32" s="88"/>
      <c r="D32" s="96"/>
      <c r="E32" s="74"/>
      <c r="F32" s="74"/>
      <c r="G32" s="75">
        <f>G3+G23+G27+G30</f>
        <v>50092900</v>
      </c>
      <c r="H32" s="73"/>
      <c r="I32" s="74"/>
      <c r="J32" s="74"/>
      <c r="K32" s="76" t="e">
        <f>K3+#REF!+#REF!+K23+K27+K30</f>
        <v>#REF!</v>
      </c>
      <c r="L32" s="77" t="e">
        <f>K32-G32</f>
        <v>#REF!</v>
      </c>
      <c r="M32" s="73"/>
      <c r="N32" s="74"/>
      <c r="O32" s="74"/>
      <c r="P32" s="76" t="e">
        <f>P3+#REF!+#REF!+P23+P27+P30</f>
        <v>#REF!</v>
      </c>
      <c r="Q32" s="77" t="e">
        <f t="shared" si="5"/>
        <v>#REF!</v>
      </c>
      <c r="R32" s="45" t="e">
        <f>P32/K32</f>
        <v>#REF!</v>
      </c>
      <c r="S32" s="78"/>
    </row>
    <row r="33" spans="2:19" x14ac:dyDescent="0.2">
      <c r="B33" s="24"/>
      <c r="I33" s="27"/>
      <c r="L33" s="28"/>
      <c r="Q33" s="28"/>
      <c r="R33" s="79"/>
    </row>
    <row r="34" spans="2:19" x14ac:dyDescent="0.2">
      <c r="B34" s="24"/>
      <c r="C34" s="224" t="s">
        <v>152</v>
      </c>
      <c r="D34" s="224"/>
      <c r="E34" s="224"/>
      <c r="F34" s="224"/>
      <c r="G34" s="224"/>
      <c r="I34" s="27"/>
      <c r="L34" s="28"/>
      <c r="Q34" s="28"/>
      <c r="R34" s="79"/>
    </row>
    <row r="35" spans="2:19" ht="33" customHeight="1" x14ac:dyDescent="0.2">
      <c r="B35" s="24"/>
      <c r="C35" s="224"/>
      <c r="D35" s="224"/>
      <c r="E35" s="224"/>
      <c r="F35" s="224"/>
      <c r="G35" s="224"/>
      <c r="I35" s="27"/>
      <c r="L35" s="80"/>
      <c r="O35" s="81"/>
      <c r="P35" s="81"/>
      <c r="Q35" s="80"/>
      <c r="R35" s="82"/>
      <c r="S35" s="81"/>
    </row>
    <row r="36" spans="2:19" x14ac:dyDescent="0.2">
      <c r="B36" s="24"/>
      <c r="F36" s="83"/>
      <c r="G36" s="83">
        <f>G32*(1-0.36)</f>
        <v>32059456</v>
      </c>
      <c r="I36" s="27"/>
      <c r="L36" s="84"/>
      <c r="O36" s="83"/>
      <c r="P36" s="83"/>
      <c r="Q36" s="84"/>
      <c r="R36" s="85"/>
      <c r="S36" s="225"/>
    </row>
    <row r="37" spans="2:19" x14ac:dyDescent="0.2">
      <c r="B37" s="24"/>
      <c r="F37" s="86"/>
      <c r="G37" s="86"/>
      <c r="I37" s="27"/>
      <c r="L37" s="30"/>
      <c r="O37" s="86"/>
      <c r="P37" s="86"/>
      <c r="Q37" s="30"/>
      <c r="R37" s="31"/>
      <c r="S37" s="225"/>
    </row>
  </sheetData>
  <mergeCells count="4">
    <mergeCell ref="A4:A22"/>
    <mergeCell ref="A24:A26"/>
    <mergeCell ref="C34:G35"/>
    <mergeCell ref="S36:S37"/>
  </mergeCells>
  <phoneticPr fontId="1"/>
  <pageMargins left="0.7" right="0.7" top="0.75" bottom="0.75" header="0.3" footer="0.3"/>
  <pageSetup paperSize="9" orientation="portrait" horizontalDpi="4294967292" verticalDpi="0" copies="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9"/>
  <sheetViews>
    <sheetView workbookViewId="0">
      <selection activeCell="G9" sqref="G9"/>
    </sheetView>
  </sheetViews>
  <sheetFormatPr defaultRowHeight="14.4" x14ac:dyDescent="0.2"/>
  <cols>
    <col min="4" max="4" width="56.69921875" customWidth="1"/>
  </cols>
  <sheetData>
    <row r="1" spans="1:4" ht="19.2" x14ac:dyDescent="0.2">
      <c r="A1" s="226"/>
      <c r="B1" s="226"/>
      <c r="C1" s="226"/>
      <c r="D1" s="226"/>
    </row>
    <row r="2" spans="1:4" ht="19.8" thickBot="1" x14ac:dyDescent="0.25">
      <c r="A2" s="98"/>
      <c r="B2" s="229" t="s">
        <v>161</v>
      </c>
      <c r="C2" s="229"/>
      <c r="D2" s="98"/>
    </row>
    <row r="3" spans="1:4" ht="19.2" x14ac:dyDescent="0.2">
      <c r="A3" s="98"/>
      <c r="B3" s="100" t="s">
        <v>162</v>
      </c>
      <c r="C3" s="101" t="s">
        <v>163</v>
      </c>
      <c r="D3" s="102" t="s">
        <v>164</v>
      </c>
    </row>
    <row r="4" spans="1:4" ht="19.2" x14ac:dyDescent="0.2">
      <c r="A4" s="230"/>
      <c r="B4" s="231">
        <v>0</v>
      </c>
      <c r="C4" s="233"/>
      <c r="D4" s="103" t="s">
        <v>165</v>
      </c>
    </row>
    <row r="5" spans="1:4" ht="38.4" x14ac:dyDescent="0.2">
      <c r="A5" s="230"/>
      <c r="B5" s="232"/>
      <c r="C5" s="234"/>
      <c r="D5" s="104" t="s">
        <v>166</v>
      </c>
    </row>
    <row r="6" spans="1:4" ht="19.2" x14ac:dyDescent="0.2">
      <c r="A6" s="98"/>
      <c r="B6" s="105">
        <v>1</v>
      </c>
      <c r="C6" s="106" t="s">
        <v>167</v>
      </c>
      <c r="D6" s="107" t="s">
        <v>168</v>
      </c>
    </row>
    <row r="7" spans="1:4" ht="19.2" x14ac:dyDescent="0.2">
      <c r="A7" s="98"/>
      <c r="B7" s="108">
        <v>2</v>
      </c>
      <c r="C7" s="109" t="s">
        <v>169</v>
      </c>
      <c r="D7" s="110" t="s">
        <v>170</v>
      </c>
    </row>
    <row r="8" spans="1:4" ht="19.2" x14ac:dyDescent="0.2">
      <c r="A8" s="98"/>
      <c r="B8" s="108">
        <v>3</v>
      </c>
      <c r="C8" s="109" t="s">
        <v>171</v>
      </c>
      <c r="D8" s="110" t="s">
        <v>172</v>
      </c>
    </row>
    <row r="9" spans="1:4" ht="19.2" x14ac:dyDescent="0.2">
      <c r="A9" s="98"/>
      <c r="B9" s="108">
        <v>4</v>
      </c>
      <c r="C9" s="109" t="s">
        <v>173</v>
      </c>
      <c r="D9" s="110" t="s">
        <v>174</v>
      </c>
    </row>
    <row r="10" spans="1:4" ht="19.2" x14ac:dyDescent="0.2">
      <c r="A10" s="98"/>
      <c r="B10" s="108">
        <v>5</v>
      </c>
      <c r="C10" s="109" t="s">
        <v>175</v>
      </c>
      <c r="D10" s="110" t="s">
        <v>176</v>
      </c>
    </row>
    <row r="11" spans="1:4" ht="19.2" x14ac:dyDescent="0.2">
      <c r="A11" s="98"/>
      <c r="B11" s="108">
        <v>6</v>
      </c>
      <c r="C11" s="109" t="s">
        <v>177</v>
      </c>
      <c r="D11" s="110" t="s">
        <v>178</v>
      </c>
    </row>
    <row r="12" spans="1:4" ht="19.2" x14ac:dyDescent="0.2">
      <c r="A12" s="98"/>
      <c r="B12" s="105">
        <v>7</v>
      </c>
      <c r="C12" s="106" t="s">
        <v>179</v>
      </c>
      <c r="D12" s="107" t="s">
        <v>180</v>
      </c>
    </row>
    <row r="13" spans="1:4" ht="19.2" x14ac:dyDescent="0.2">
      <c r="A13" s="98"/>
      <c r="B13" s="105">
        <v>8</v>
      </c>
      <c r="C13" s="106" t="s">
        <v>167</v>
      </c>
      <c r="D13" s="107" t="s">
        <v>180</v>
      </c>
    </row>
    <row r="14" spans="1:4" ht="19.2" x14ac:dyDescent="0.2">
      <c r="A14" s="98"/>
      <c r="B14" s="108">
        <v>9</v>
      </c>
      <c r="C14" s="109" t="s">
        <v>169</v>
      </c>
      <c r="D14" s="110" t="s">
        <v>181</v>
      </c>
    </row>
    <row r="15" spans="1:4" ht="19.2" x14ac:dyDescent="0.2">
      <c r="A15" s="98"/>
      <c r="B15" s="108">
        <v>10</v>
      </c>
      <c r="C15" s="109" t="s">
        <v>171</v>
      </c>
      <c r="D15" s="110" t="s">
        <v>182</v>
      </c>
    </row>
    <row r="16" spans="1:4" ht="19.2" x14ac:dyDescent="0.2">
      <c r="A16" s="98"/>
      <c r="B16" s="108">
        <v>11</v>
      </c>
      <c r="C16" s="109" t="s">
        <v>173</v>
      </c>
      <c r="D16" s="110" t="s">
        <v>183</v>
      </c>
    </row>
    <row r="17" spans="1:4" ht="19.2" x14ac:dyDescent="0.2">
      <c r="A17" s="98"/>
      <c r="B17" s="108">
        <v>12</v>
      </c>
      <c r="C17" s="109" t="s">
        <v>175</v>
      </c>
      <c r="D17" s="110" t="s">
        <v>184</v>
      </c>
    </row>
    <row r="18" spans="1:4" ht="19.2" x14ac:dyDescent="0.2">
      <c r="A18" s="98"/>
      <c r="B18" s="108">
        <v>13</v>
      </c>
      <c r="C18" s="109" t="s">
        <v>177</v>
      </c>
      <c r="D18" s="110" t="s">
        <v>185</v>
      </c>
    </row>
    <row r="19" spans="1:4" ht="19.2" x14ac:dyDescent="0.2">
      <c r="A19" s="98"/>
      <c r="B19" s="105">
        <v>14</v>
      </c>
      <c r="C19" s="106" t="s">
        <v>179</v>
      </c>
      <c r="D19" s="107" t="s">
        <v>180</v>
      </c>
    </row>
    <row r="20" spans="1:4" ht="19.2" x14ac:dyDescent="0.2">
      <c r="A20" s="98"/>
      <c r="B20" s="105">
        <v>15</v>
      </c>
      <c r="C20" s="106" t="s">
        <v>167</v>
      </c>
      <c r="D20" s="107" t="s">
        <v>180</v>
      </c>
    </row>
    <row r="21" spans="1:4" ht="19.2" x14ac:dyDescent="0.2">
      <c r="A21" s="98"/>
      <c r="B21" s="108">
        <v>16</v>
      </c>
      <c r="C21" s="109" t="s">
        <v>169</v>
      </c>
      <c r="D21" s="110" t="s">
        <v>186</v>
      </c>
    </row>
    <row r="22" spans="1:4" ht="19.2" x14ac:dyDescent="0.2">
      <c r="A22" s="98"/>
      <c r="B22" s="108">
        <v>17</v>
      </c>
      <c r="C22" s="109" t="s">
        <v>171</v>
      </c>
      <c r="D22" s="110" t="s">
        <v>187</v>
      </c>
    </row>
    <row r="23" spans="1:4" ht="19.2" x14ac:dyDescent="0.2">
      <c r="A23" s="98"/>
      <c r="B23" s="108">
        <v>18</v>
      </c>
      <c r="C23" s="109" t="s">
        <v>173</v>
      </c>
      <c r="D23" s="110" t="s">
        <v>188</v>
      </c>
    </row>
    <row r="24" spans="1:4" ht="19.2" x14ac:dyDescent="0.2">
      <c r="A24" s="98"/>
      <c r="B24" s="108">
        <v>19</v>
      </c>
      <c r="C24" s="109" t="s">
        <v>175</v>
      </c>
      <c r="D24" s="110" t="s">
        <v>189</v>
      </c>
    </row>
    <row r="25" spans="1:4" ht="19.2" x14ac:dyDescent="0.2">
      <c r="A25" s="98"/>
      <c r="B25" s="108">
        <v>20</v>
      </c>
      <c r="C25" s="109" t="s">
        <v>177</v>
      </c>
      <c r="D25" s="110" t="s">
        <v>190</v>
      </c>
    </row>
    <row r="26" spans="1:4" ht="19.2" x14ac:dyDescent="0.2">
      <c r="A26" s="98"/>
      <c r="B26" s="105">
        <v>21</v>
      </c>
      <c r="C26" s="106" t="s">
        <v>179</v>
      </c>
      <c r="D26" s="107" t="s">
        <v>180</v>
      </c>
    </row>
    <row r="27" spans="1:4" ht="19.2" x14ac:dyDescent="0.2">
      <c r="A27" s="98"/>
      <c r="B27" s="105">
        <v>22</v>
      </c>
      <c r="C27" s="106" t="s">
        <v>167</v>
      </c>
      <c r="D27" s="107" t="s">
        <v>180</v>
      </c>
    </row>
    <row r="28" spans="1:4" ht="19.2" x14ac:dyDescent="0.2">
      <c r="A28" s="98"/>
      <c r="B28" s="108">
        <v>23</v>
      </c>
      <c r="C28" s="109" t="s">
        <v>169</v>
      </c>
      <c r="D28" s="110" t="s">
        <v>191</v>
      </c>
    </row>
    <row r="29" spans="1:4" ht="19.2" x14ac:dyDescent="0.2">
      <c r="A29" s="98"/>
      <c r="B29" s="108">
        <v>24</v>
      </c>
      <c r="C29" s="109" t="s">
        <v>171</v>
      </c>
      <c r="D29" s="110" t="s">
        <v>192</v>
      </c>
    </row>
    <row r="30" spans="1:4" ht="19.2" x14ac:dyDescent="0.2">
      <c r="A30" s="98"/>
      <c r="B30" s="108">
        <v>25</v>
      </c>
      <c r="C30" s="109" t="s">
        <v>173</v>
      </c>
      <c r="D30" s="110" t="s">
        <v>193</v>
      </c>
    </row>
    <row r="31" spans="1:4" ht="19.2" x14ac:dyDescent="0.2">
      <c r="A31" s="98"/>
      <c r="B31" s="108">
        <v>26</v>
      </c>
      <c r="C31" s="109" t="s">
        <v>175</v>
      </c>
      <c r="D31" s="110" t="s">
        <v>194</v>
      </c>
    </row>
    <row r="32" spans="1:4" ht="19.2" x14ac:dyDescent="0.2">
      <c r="A32" s="98"/>
      <c r="B32" s="108">
        <v>27</v>
      </c>
      <c r="C32" s="109" t="s">
        <v>177</v>
      </c>
      <c r="D32" s="110" t="s">
        <v>195</v>
      </c>
    </row>
    <row r="33" spans="1:4" ht="19.8" thickBot="1" x14ac:dyDescent="0.25">
      <c r="A33" s="98"/>
      <c r="B33" s="111">
        <v>28</v>
      </c>
      <c r="C33" s="112" t="s">
        <v>179</v>
      </c>
      <c r="D33" s="113" t="s">
        <v>196</v>
      </c>
    </row>
    <row r="34" spans="1:4" ht="19.2" x14ac:dyDescent="0.2">
      <c r="A34" s="226"/>
      <c r="B34" s="226"/>
      <c r="C34" s="227"/>
      <c r="D34" s="227"/>
    </row>
    <row r="35" spans="1:4" ht="19.2" x14ac:dyDescent="0.2">
      <c r="A35" s="98"/>
      <c r="B35" s="99" t="s">
        <v>197</v>
      </c>
      <c r="C35" s="228" t="s">
        <v>198</v>
      </c>
      <c r="D35" s="228"/>
    </row>
    <row r="36" spans="1:4" ht="19.2" x14ac:dyDescent="0.2">
      <c r="A36" s="226"/>
      <c r="B36" s="226"/>
      <c r="C36" s="228" t="s">
        <v>199</v>
      </c>
      <c r="D36" s="228"/>
    </row>
    <row r="37" spans="1:4" ht="19.2" x14ac:dyDescent="0.2">
      <c r="A37" s="98"/>
      <c r="B37" s="99" t="s">
        <v>200</v>
      </c>
      <c r="C37" s="226" t="s">
        <v>201</v>
      </c>
      <c r="D37" s="226"/>
    </row>
    <row r="38" spans="1:4" ht="19.2" x14ac:dyDescent="0.2">
      <c r="A38" s="226"/>
      <c r="B38" s="226"/>
      <c r="C38" s="226" t="s">
        <v>202</v>
      </c>
      <c r="D38" s="226"/>
    </row>
    <row r="39" spans="1:4" ht="19.2" x14ac:dyDescent="0.2">
      <c r="A39" s="98"/>
      <c r="B39" s="99" t="s">
        <v>203</v>
      </c>
      <c r="C39" s="226" t="s">
        <v>204</v>
      </c>
      <c r="D39" s="226"/>
    </row>
  </sheetData>
  <mergeCells count="15">
    <mergeCell ref="A1:B1"/>
    <mergeCell ref="C1:D1"/>
    <mergeCell ref="B2:C2"/>
    <mergeCell ref="A4:A5"/>
    <mergeCell ref="B4:B5"/>
    <mergeCell ref="C4:C5"/>
    <mergeCell ref="A38:B38"/>
    <mergeCell ref="C38:D38"/>
    <mergeCell ref="C39:D39"/>
    <mergeCell ref="A34:B34"/>
    <mergeCell ref="C34:D34"/>
    <mergeCell ref="C35:D35"/>
    <mergeCell ref="A36:B36"/>
    <mergeCell ref="C36:D36"/>
    <mergeCell ref="C37:D37"/>
  </mergeCells>
  <phoneticPr fontId="1"/>
  <pageMargins left="0.7" right="0.7" top="0.75" bottom="0.75" header="0.3" footer="0.3"/>
  <pageSetup paperSize="9" orientation="portrait" horizontalDpi="4294967292" verticalDpi="0" copies="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0B342-D70F-466F-9C21-C5475563FC4B}">
  <sheetPr>
    <tabColor rgb="FFFF0000"/>
  </sheetPr>
  <dimension ref="A1:J56"/>
  <sheetViews>
    <sheetView topLeftCell="A27" zoomScale="80" zoomScaleNormal="80" zoomScaleSheetLayoutView="55" workbookViewId="0">
      <selection activeCell="G50" sqref="G50"/>
    </sheetView>
  </sheetViews>
  <sheetFormatPr defaultColWidth="8.59765625" defaultRowHeight="17.7" customHeight="1" x14ac:dyDescent="0.2"/>
  <cols>
    <col min="1" max="1" width="1.69921875" style="161" customWidth="1"/>
    <col min="2" max="2" width="3.59765625" style="161" customWidth="1"/>
    <col min="3" max="3" width="28" style="161" customWidth="1"/>
    <col min="4" max="4" width="12.19921875" style="161" customWidth="1"/>
    <col min="5" max="5" width="7.19921875" style="161" bestFit="1" customWidth="1"/>
    <col min="6" max="6" width="5" style="161" customWidth="1"/>
    <col min="7" max="8" width="20.69921875" style="161" customWidth="1"/>
    <col min="9" max="9" width="4.09765625" style="161" customWidth="1"/>
    <col min="10" max="10" width="19.69921875" style="161" bestFit="1" customWidth="1"/>
    <col min="11" max="16384" width="8.59765625" style="161"/>
  </cols>
  <sheetData>
    <row r="1" spans="1:10" ht="17.7" customHeight="1" x14ac:dyDescent="0.2">
      <c r="H1" s="173" t="s">
        <v>205</v>
      </c>
    </row>
    <row r="2" spans="1:10" ht="25.2" customHeight="1" x14ac:dyDescent="0.2">
      <c r="A2" s="240" t="s">
        <v>206</v>
      </c>
      <c r="B2" s="240"/>
      <c r="C2" s="240"/>
      <c r="D2" s="240"/>
      <c r="E2" s="240"/>
      <c r="F2" s="240"/>
      <c r="G2" s="240"/>
      <c r="H2" s="240"/>
      <c r="J2" s="172"/>
    </row>
    <row r="3" spans="1:10" ht="15" x14ac:dyDescent="0.2">
      <c r="A3" s="186"/>
      <c r="B3" s="186"/>
      <c r="C3" s="186"/>
      <c r="D3" s="186"/>
      <c r="E3" s="186"/>
      <c r="F3" s="186"/>
      <c r="G3" s="186"/>
      <c r="H3" s="186"/>
    </row>
    <row r="4" spans="1:10" ht="17.7" customHeight="1" x14ac:dyDescent="0.2">
      <c r="A4" s="186"/>
      <c r="B4" s="186"/>
      <c r="C4" s="186"/>
      <c r="D4" s="186"/>
      <c r="E4" s="186"/>
      <c r="F4" s="173" t="s">
        <v>207</v>
      </c>
      <c r="G4" s="239"/>
      <c r="H4" s="239"/>
    </row>
    <row r="5" spans="1:10" ht="15" x14ac:dyDescent="0.2">
      <c r="A5" s="185"/>
      <c r="B5" s="185"/>
      <c r="C5" s="185"/>
      <c r="D5" s="185"/>
      <c r="E5" s="185"/>
      <c r="F5" s="185"/>
      <c r="G5" s="185"/>
      <c r="H5" s="185"/>
    </row>
    <row r="6" spans="1:10" ht="17.7" customHeight="1" x14ac:dyDescent="0.2">
      <c r="A6" s="185"/>
      <c r="B6" s="185"/>
      <c r="C6" s="185"/>
      <c r="D6" s="185"/>
      <c r="E6" s="185"/>
      <c r="F6" s="173" t="s">
        <v>208</v>
      </c>
      <c r="G6" s="239"/>
      <c r="H6" s="239"/>
    </row>
    <row r="7" spans="1:10" ht="15" x14ac:dyDescent="0.2">
      <c r="A7" s="185"/>
      <c r="B7" s="185"/>
      <c r="C7" s="185"/>
      <c r="D7" s="185"/>
      <c r="E7" s="185"/>
      <c r="F7" s="173"/>
      <c r="G7" s="185"/>
      <c r="H7" s="185"/>
    </row>
    <row r="8" spans="1:10" ht="17.7" customHeight="1" x14ac:dyDescent="0.2">
      <c r="A8" s="185"/>
      <c r="B8" s="185"/>
      <c r="C8" s="185"/>
      <c r="D8" s="173" t="s">
        <v>209</v>
      </c>
      <c r="E8" s="185"/>
      <c r="F8" s="173" t="s">
        <v>210</v>
      </c>
      <c r="G8" s="239"/>
      <c r="H8" s="239"/>
    </row>
    <row r="9" spans="1:10" ht="15" x14ac:dyDescent="0.2">
      <c r="A9" s="185"/>
      <c r="B9" s="185"/>
      <c r="C9" s="185"/>
      <c r="D9" s="172"/>
      <c r="E9" s="185"/>
      <c r="F9" s="173"/>
      <c r="G9" s="185"/>
      <c r="H9" s="185"/>
    </row>
    <row r="10" spans="1:10" ht="17.7" customHeight="1" x14ac:dyDescent="0.2">
      <c r="A10" s="185"/>
      <c r="B10" s="185"/>
      <c r="C10" s="185"/>
      <c r="D10" s="173" t="s">
        <v>211</v>
      </c>
      <c r="E10" s="185"/>
      <c r="F10" s="173" t="s">
        <v>212</v>
      </c>
      <c r="G10" s="239"/>
      <c r="H10" s="239"/>
    </row>
    <row r="11" spans="1:10" ht="17.7" customHeight="1" x14ac:dyDescent="0.2">
      <c r="A11" s="185"/>
      <c r="B11" s="185"/>
      <c r="C11" s="185"/>
      <c r="D11" s="172"/>
      <c r="E11" s="185"/>
      <c r="F11" s="173" t="s">
        <v>213</v>
      </c>
      <c r="G11" s="239"/>
      <c r="H11" s="239"/>
    </row>
    <row r="12" spans="1:10" ht="14.4" x14ac:dyDescent="0.2"/>
    <row r="13" spans="1:10" ht="17.7" customHeight="1" x14ac:dyDescent="0.2">
      <c r="B13" s="161" t="s">
        <v>214</v>
      </c>
      <c r="C13" s="161" t="s">
        <v>215</v>
      </c>
      <c r="D13" s="235" t="s">
        <v>216</v>
      </c>
      <c r="E13" s="235"/>
      <c r="F13" s="235"/>
      <c r="G13" s="235"/>
      <c r="H13" s="235"/>
    </row>
    <row r="14" spans="1:10" ht="36" customHeight="1" x14ac:dyDescent="0.2">
      <c r="B14" s="161" t="s">
        <v>214</v>
      </c>
      <c r="C14" s="161" t="s">
        <v>217</v>
      </c>
      <c r="D14" s="235" t="s">
        <v>218</v>
      </c>
      <c r="E14" s="235"/>
      <c r="F14" s="235"/>
      <c r="G14" s="235"/>
      <c r="H14" s="235"/>
    </row>
    <row r="15" spans="1:10" ht="14.4" x14ac:dyDescent="0.2"/>
    <row r="16" spans="1:10" ht="17.7" customHeight="1" x14ac:dyDescent="0.2">
      <c r="A16" s="201" t="s">
        <v>219</v>
      </c>
      <c r="B16" s="175"/>
      <c r="C16" s="175"/>
      <c r="D16" s="184"/>
      <c r="E16" s="175"/>
      <c r="F16" s="175"/>
      <c r="G16" s="183"/>
      <c r="H16" s="183"/>
    </row>
    <row r="17" spans="2:8" ht="17.7" customHeight="1" x14ac:dyDescent="0.2">
      <c r="B17" s="179" t="s">
        <v>220</v>
      </c>
      <c r="G17" s="173" t="s">
        <v>221</v>
      </c>
      <c r="H17" s="173"/>
    </row>
    <row r="18" spans="2:8" ht="17.7" customHeight="1" x14ac:dyDescent="0.2">
      <c r="C18" s="236" t="s">
        <v>222</v>
      </c>
      <c r="D18" s="236" t="s">
        <v>223</v>
      </c>
      <c r="E18" s="236" t="s">
        <v>224</v>
      </c>
      <c r="F18" s="236"/>
      <c r="G18" s="237" t="s">
        <v>225</v>
      </c>
      <c r="H18" s="238" t="s">
        <v>226</v>
      </c>
    </row>
    <row r="19" spans="2:8" ht="17.7" customHeight="1" x14ac:dyDescent="0.2">
      <c r="C19" s="236"/>
      <c r="D19" s="236"/>
      <c r="E19" s="189" t="s">
        <v>227</v>
      </c>
      <c r="F19" s="189" t="s">
        <v>228</v>
      </c>
      <c r="G19" s="237"/>
      <c r="H19" s="238"/>
    </row>
    <row r="20" spans="2:8" ht="17.7" customHeight="1" x14ac:dyDescent="0.2">
      <c r="C20" s="192"/>
      <c r="D20" s="193"/>
      <c r="E20" s="194"/>
      <c r="F20" s="192" t="s">
        <v>229</v>
      </c>
      <c r="G20" s="174">
        <f>ROUNDDOWN(D20*E20,0)</f>
        <v>0</v>
      </c>
      <c r="H20" s="182"/>
    </row>
    <row r="21" spans="2:8" ht="17.7" customHeight="1" x14ac:dyDescent="0.2">
      <c r="C21" s="192"/>
      <c r="D21" s="193"/>
      <c r="E21" s="194"/>
      <c r="F21" s="192" t="s">
        <v>229</v>
      </c>
      <c r="G21" s="174">
        <f>ROUNDDOWN(D21*E21,0)</f>
        <v>0</v>
      </c>
      <c r="H21" s="182"/>
    </row>
    <row r="22" spans="2:8" ht="17.7" customHeight="1" x14ac:dyDescent="0.2">
      <c r="C22" s="192"/>
      <c r="D22" s="193"/>
      <c r="E22" s="194"/>
      <c r="F22" s="192" t="s">
        <v>229</v>
      </c>
      <c r="G22" s="174">
        <f>ROUNDDOWN(D22*E22,0)</f>
        <v>0</v>
      </c>
      <c r="H22" s="182"/>
    </row>
    <row r="23" spans="2:8" ht="17.7" customHeight="1" x14ac:dyDescent="0.2">
      <c r="C23" s="192"/>
      <c r="D23" s="193"/>
      <c r="E23" s="194"/>
      <c r="F23" s="192"/>
      <c r="G23" s="174">
        <f>ROUNDDOWN(D23*E23,0)</f>
        <v>0</v>
      </c>
      <c r="H23" s="182"/>
    </row>
    <row r="24" spans="2:8" ht="17.7" customHeight="1" x14ac:dyDescent="0.2">
      <c r="C24" s="192"/>
      <c r="D24" s="193"/>
      <c r="E24" s="194"/>
      <c r="F24" s="192"/>
      <c r="G24" s="174">
        <f>ROUNDDOWN(D24*E24,0)</f>
        <v>0</v>
      </c>
      <c r="H24" s="182"/>
    </row>
    <row r="25" spans="2:8" s="162" customFormat="1" ht="25.2" customHeight="1" x14ac:dyDescent="0.3">
      <c r="C25" s="181"/>
      <c r="D25" s="181"/>
      <c r="E25" s="181"/>
      <c r="F25" s="180" t="s">
        <v>230</v>
      </c>
      <c r="G25" s="170">
        <f>SUM(G20:G24)</f>
        <v>0</v>
      </c>
      <c r="H25" s="162" t="s">
        <v>231</v>
      </c>
    </row>
    <row r="26" spans="2:8" ht="14.4" x14ac:dyDescent="0.2"/>
    <row r="27" spans="2:8" ht="17.7" customHeight="1" x14ac:dyDescent="0.2">
      <c r="B27" s="179" t="s">
        <v>232</v>
      </c>
      <c r="D27" s="178"/>
    </row>
    <row r="28" spans="2:8" ht="17.7" customHeight="1" x14ac:dyDescent="0.2">
      <c r="C28" s="161" t="s">
        <v>233</v>
      </c>
      <c r="D28" s="194"/>
      <c r="G28" s="173"/>
    </row>
    <row r="29" spans="2:8" s="162" customFormat="1" ht="24" customHeight="1" x14ac:dyDescent="0.3">
      <c r="F29" s="177" t="s">
        <v>234</v>
      </c>
      <c r="G29" s="176">
        <f>ROUNDDOWN(G25*(D28*0.01),0)</f>
        <v>0</v>
      </c>
      <c r="H29" s="162" t="s">
        <v>231</v>
      </c>
    </row>
    <row r="30" spans="2:8" ht="14.4" x14ac:dyDescent="0.2">
      <c r="F30" s="173"/>
    </row>
    <row r="31" spans="2:8" s="162" customFormat="1" ht="25.2" customHeight="1" x14ac:dyDescent="0.3">
      <c r="D31" s="168"/>
      <c r="F31" s="167" t="s">
        <v>235</v>
      </c>
      <c r="G31" s="164">
        <f>SUM(G25,G29)</f>
        <v>0</v>
      </c>
      <c r="H31" s="163" t="s">
        <v>236</v>
      </c>
    </row>
    <row r="32" spans="2:8" ht="14.4" x14ac:dyDescent="0.2">
      <c r="F32" s="173"/>
    </row>
    <row r="33" spans="1:8" ht="17.7" customHeight="1" x14ac:dyDescent="0.2">
      <c r="A33" s="201" t="s">
        <v>237</v>
      </c>
      <c r="B33" s="200"/>
      <c r="C33" s="200"/>
      <c r="D33" s="165"/>
      <c r="E33" s="175"/>
      <c r="F33" s="175"/>
      <c r="G33" s="175"/>
      <c r="H33" s="175"/>
    </row>
    <row r="34" spans="1:8" ht="17.7" customHeight="1" x14ac:dyDescent="0.2">
      <c r="B34" s="195" t="s">
        <v>238</v>
      </c>
      <c r="C34" s="196" t="s">
        <v>239</v>
      </c>
      <c r="G34" s="173" t="s">
        <v>221</v>
      </c>
      <c r="H34" s="173"/>
    </row>
    <row r="35" spans="1:8" s="172" customFormat="1" ht="17.7" customHeight="1" x14ac:dyDescent="0.2">
      <c r="C35" s="189" t="s">
        <v>240</v>
      </c>
      <c r="D35" s="189" t="s">
        <v>223</v>
      </c>
      <c r="E35" s="189" t="s">
        <v>227</v>
      </c>
      <c r="F35" s="189" t="s">
        <v>228</v>
      </c>
      <c r="G35" s="190" t="s">
        <v>225</v>
      </c>
      <c r="H35" s="191" t="s">
        <v>226</v>
      </c>
    </row>
    <row r="36" spans="1:8" ht="17.7" customHeight="1" x14ac:dyDescent="0.2">
      <c r="C36" s="194" t="s">
        <v>241</v>
      </c>
      <c r="D36" s="193">
        <v>148000</v>
      </c>
      <c r="E36" s="194">
        <v>2</v>
      </c>
      <c r="F36" s="192" t="s">
        <v>242</v>
      </c>
      <c r="G36" s="174">
        <f>ROUNDDOWN(D36*E36,0)</f>
        <v>296000</v>
      </c>
      <c r="H36" s="171" t="s">
        <v>243</v>
      </c>
    </row>
    <row r="37" spans="1:8" ht="17.7" customHeight="1" x14ac:dyDescent="0.2">
      <c r="C37" s="194" t="s">
        <v>244</v>
      </c>
      <c r="D37" s="197"/>
      <c r="E37" s="194">
        <v>2</v>
      </c>
      <c r="F37" s="192" t="s">
        <v>242</v>
      </c>
      <c r="G37" s="187">
        <f>ROUNDDOWN(D37*E37,0)</f>
        <v>0</v>
      </c>
      <c r="H37" s="171" t="s">
        <v>243</v>
      </c>
    </row>
    <row r="38" spans="1:8" s="162" customFormat="1" ht="25.2" customHeight="1" x14ac:dyDescent="0.3">
      <c r="F38" s="162" t="s">
        <v>245</v>
      </c>
      <c r="G38" s="170">
        <f>SUM(G36:G36)</f>
        <v>296000</v>
      </c>
      <c r="H38" s="162" t="s">
        <v>231</v>
      </c>
    </row>
    <row r="39" spans="1:8" ht="14.4" x14ac:dyDescent="0.2"/>
    <row r="40" spans="1:8" ht="17.7" customHeight="1" x14ac:dyDescent="0.2">
      <c r="B40" s="195" t="s">
        <v>246</v>
      </c>
      <c r="C40" s="196" t="s">
        <v>247</v>
      </c>
      <c r="G40" s="173" t="s">
        <v>221</v>
      </c>
      <c r="H40" s="173"/>
    </row>
    <row r="41" spans="1:8" s="172" customFormat="1" ht="17.7" customHeight="1" x14ac:dyDescent="0.2">
      <c r="C41" s="189" t="s">
        <v>240</v>
      </c>
      <c r="D41" s="189" t="s">
        <v>223</v>
      </c>
      <c r="E41" s="189" t="s">
        <v>227</v>
      </c>
      <c r="F41" s="189" t="s">
        <v>228</v>
      </c>
      <c r="G41" s="189" t="s">
        <v>225</v>
      </c>
      <c r="H41" s="191" t="s">
        <v>226</v>
      </c>
    </row>
    <row r="42" spans="1:8" ht="17.7" customHeight="1" x14ac:dyDescent="0.2">
      <c r="C42" s="194" t="s">
        <v>248</v>
      </c>
      <c r="D42" s="193">
        <v>25757500</v>
      </c>
      <c r="E42" s="194">
        <v>3</v>
      </c>
      <c r="F42" s="192" t="s">
        <v>242</v>
      </c>
      <c r="G42" s="198">
        <f>ROUNDDOWN(D42*E42,0)</f>
        <v>77272500</v>
      </c>
      <c r="H42" s="171" t="s">
        <v>249</v>
      </c>
    </row>
    <row r="43" spans="1:8" ht="17.7" customHeight="1" x14ac:dyDescent="0.2">
      <c r="C43" s="194" t="s">
        <v>250</v>
      </c>
      <c r="D43" s="197"/>
      <c r="E43" s="194">
        <v>3</v>
      </c>
      <c r="F43" s="192" t="s">
        <v>242</v>
      </c>
      <c r="G43" s="188">
        <f>ROUNDDOWN(D43*E43,0)</f>
        <v>0</v>
      </c>
      <c r="H43" s="171" t="s">
        <v>249</v>
      </c>
    </row>
    <row r="44" spans="1:8" s="162" customFormat="1" ht="25.2" customHeight="1" x14ac:dyDescent="0.3">
      <c r="F44" s="162" t="s">
        <v>245</v>
      </c>
      <c r="G44" s="170">
        <f>SUM(G42:G42)</f>
        <v>77272500</v>
      </c>
      <c r="H44" s="162" t="s">
        <v>231</v>
      </c>
    </row>
    <row r="45" spans="1:8" s="162" customFormat="1" ht="14.4" x14ac:dyDescent="0.3">
      <c r="G45" s="169"/>
    </row>
    <row r="46" spans="1:8" s="162" customFormat="1" ht="25.2" customHeight="1" x14ac:dyDescent="0.3">
      <c r="D46" s="168"/>
      <c r="F46" s="167" t="s">
        <v>251</v>
      </c>
      <c r="G46" s="164">
        <f>SUM(G38,G44)</f>
        <v>77568500</v>
      </c>
      <c r="H46" s="163" t="s">
        <v>252</v>
      </c>
    </row>
    <row r="48" spans="1:8" ht="17.7" customHeight="1" x14ac:dyDescent="0.2">
      <c r="A48" s="201" t="s">
        <v>253</v>
      </c>
      <c r="B48" s="165"/>
      <c r="C48" s="165"/>
      <c r="D48" s="165"/>
      <c r="E48" s="165"/>
      <c r="F48" s="165"/>
      <c r="G48" s="165"/>
      <c r="H48" s="165"/>
    </row>
    <row r="49" spans="1:8" s="162" customFormat="1" ht="25.2" customHeight="1" x14ac:dyDescent="0.3">
      <c r="G49" s="166">
        <f>SUM(G31,G46)</f>
        <v>77568500</v>
      </c>
      <c r="H49" s="163" t="s">
        <v>254</v>
      </c>
    </row>
    <row r="51" spans="1:8" ht="17.7" customHeight="1" x14ac:dyDescent="0.2">
      <c r="A51" s="201" t="s">
        <v>255</v>
      </c>
      <c r="B51" s="165"/>
      <c r="C51" s="165"/>
      <c r="D51" s="165"/>
      <c r="E51" s="165"/>
      <c r="F51" s="165"/>
      <c r="G51" s="165"/>
      <c r="H51" s="165"/>
    </row>
    <row r="52" spans="1:8" s="162" customFormat="1" ht="25.2" customHeight="1" x14ac:dyDescent="0.3">
      <c r="G52" s="164">
        <f>ROUNDDOWN(G49*0.1,0)</f>
        <v>7756850</v>
      </c>
      <c r="H52" s="163" t="s">
        <v>231</v>
      </c>
    </row>
    <row r="53" spans="1:8" ht="17.7" customHeight="1" x14ac:dyDescent="0.2">
      <c r="B53" s="199"/>
    </row>
    <row r="54" spans="1:8" ht="17.7" customHeight="1" x14ac:dyDescent="0.2">
      <c r="A54" s="201" t="s">
        <v>256</v>
      </c>
      <c r="B54" s="165"/>
      <c r="C54" s="165"/>
      <c r="D54" s="165"/>
      <c r="E54" s="165"/>
      <c r="F54" s="165"/>
      <c r="G54" s="165"/>
      <c r="H54" s="165"/>
    </row>
    <row r="55" spans="1:8" s="162" customFormat="1" ht="25.2" customHeight="1" x14ac:dyDescent="0.3">
      <c r="G55" s="164">
        <f>SUM(G49,G52)</f>
        <v>85325350</v>
      </c>
      <c r="H55" s="163" t="s">
        <v>257</v>
      </c>
    </row>
    <row r="56" spans="1:8" ht="14.4" x14ac:dyDescent="0.2"/>
  </sheetData>
  <mergeCells count="13">
    <mergeCell ref="G11:H11"/>
    <mergeCell ref="A2:H2"/>
    <mergeCell ref="G4:H4"/>
    <mergeCell ref="G6:H6"/>
    <mergeCell ref="G8:H8"/>
    <mergeCell ref="G10:H10"/>
    <mergeCell ref="D13:H13"/>
    <mergeCell ref="D14:H14"/>
    <mergeCell ref="C18:C19"/>
    <mergeCell ref="D18:D19"/>
    <mergeCell ref="E18:F18"/>
    <mergeCell ref="G18:G19"/>
    <mergeCell ref="H18:H19"/>
  </mergeCells>
  <phoneticPr fontId="1"/>
  <dataValidations disablePrompts="1" count="2">
    <dataValidation allowBlank="1" showInputMessage="1" sqref="F25:F26 F29:F32" xr:uid="{D2166601-B02C-4868-AFEB-2A2E656A800C}"/>
    <dataValidation type="list" allowBlank="1" showInputMessage="1" sqref="F20:F24" xr:uid="{11B93AEB-B372-4EE8-B5BA-A35B16DCBBFD}">
      <formula1>"人月,人日,人時"</formula1>
    </dataValidation>
  </dataValidations>
  <printOptions horizontalCentered="1" verticalCentered="1"/>
  <pageMargins left="0" right="0" top="0" bottom="0" header="0" footer="0"/>
  <pageSetup paperSize="9" scale="98" fitToHeight="4" orientation="portrait" horizontalDpi="300" verticalDpi="300" r:id="rId1"/>
  <rowBreaks count="1" manualBreakCount="1">
    <brk id="32"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C6BB6-9A5D-422D-8B9E-C720D27185FB}">
  <sheetPr>
    <pageSetUpPr fitToPage="1"/>
  </sheetPr>
  <dimension ref="A1:K16"/>
  <sheetViews>
    <sheetView tabSelected="1" zoomScale="55" zoomScaleNormal="55" workbookViewId="0">
      <selection activeCell="D28" sqref="D28"/>
    </sheetView>
  </sheetViews>
  <sheetFormatPr defaultRowHeight="14.4" x14ac:dyDescent="0.2"/>
  <cols>
    <col min="1" max="1" width="20.59765625" customWidth="1"/>
    <col min="2" max="2" width="8.5" customWidth="1"/>
    <col min="3" max="3" width="37.09765625" style="13" customWidth="1"/>
    <col min="4" max="4" width="18.19921875" style="5" customWidth="1"/>
    <col min="5" max="5" width="16.69921875" style="127" customWidth="1"/>
    <col min="6" max="6" width="9.59765625" style="125" customWidth="1"/>
    <col min="7" max="7" width="12.19921875" style="130" customWidth="1"/>
    <col min="8" max="8" width="12.69921875" style="24" customWidth="1"/>
    <col min="9" max="9" width="20.59765625" customWidth="1"/>
    <col min="10" max="10" width="49.69921875" customWidth="1"/>
    <col min="11" max="11" width="35.19921875" customWidth="1"/>
    <col min="22" max="22" width="16.19921875" customWidth="1"/>
  </cols>
  <sheetData>
    <row r="1" spans="1:11" ht="23.4" x14ac:dyDescent="0.2">
      <c r="A1" s="23" t="s">
        <v>258</v>
      </c>
      <c r="B1" s="24"/>
      <c r="G1" s="128"/>
      <c r="H1" s="26"/>
      <c r="I1" s="26"/>
      <c r="J1" s="32"/>
    </row>
    <row r="2" spans="1:11" ht="38.1" customHeight="1" x14ac:dyDescent="0.2">
      <c r="A2" s="36" t="s">
        <v>74</v>
      </c>
      <c r="B2" s="37"/>
      <c r="C2" s="114"/>
      <c r="D2" s="144" t="s">
        <v>259</v>
      </c>
      <c r="E2" s="145" t="s">
        <v>27</v>
      </c>
      <c r="F2" s="126" t="s">
        <v>28</v>
      </c>
      <c r="G2" s="146" t="s">
        <v>27</v>
      </c>
      <c r="H2" s="122" t="s">
        <v>28</v>
      </c>
      <c r="I2" s="59">
        <f>ROUNDDOWN(SUM(I3:I9),-3)</f>
        <v>148000</v>
      </c>
      <c r="J2" s="37" t="s">
        <v>77</v>
      </c>
      <c r="K2" s="24"/>
    </row>
    <row r="3" spans="1:11" ht="49.2" customHeight="1" x14ac:dyDescent="0.2">
      <c r="A3" s="116" t="s">
        <v>260</v>
      </c>
      <c r="B3" s="46" t="s">
        <v>78</v>
      </c>
      <c r="C3" s="160" t="s">
        <v>261</v>
      </c>
      <c r="D3" s="147"/>
      <c r="E3" s="132">
        <v>1</v>
      </c>
      <c r="F3" s="133" t="s">
        <v>262</v>
      </c>
      <c r="G3" s="132">
        <v>2</v>
      </c>
      <c r="H3" s="133" t="s">
        <v>263</v>
      </c>
      <c r="I3" s="148">
        <f>D3*E3*G3</f>
        <v>0</v>
      </c>
      <c r="J3" s="54"/>
    </row>
    <row r="4" spans="1:11" ht="49.2" customHeight="1" x14ac:dyDescent="0.2">
      <c r="A4" s="118"/>
      <c r="B4" s="46" t="s">
        <v>81</v>
      </c>
      <c r="C4" s="202" t="s">
        <v>264</v>
      </c>
      <c r="D4" s="147">
        <v>17200</v>
      </c>
      <c r="E4" s="134">
        <v>3</v>
      </c>
      <c r="F4" s="135" t="s">
        <v>265</v>
      </c>
      <c r="G4" s="134">
        <v>2</v>
      </c>
      <c r="H4" s="135" t="s">
        <v>263</v>
      </c>
      <c r="I4" s="148">
        <f>D4*E4*G4</f>
        <v>103200</v>
      </c>
      <c r="J4" s="123" t="s">
        <v>266</v>
      </c>
    </row>
    <row r="5" spans="1:11" ht="49.2" customHeight="1" x14ac:dyDescent="0.2">
      <c r="A5" s="118"/>
      <c r="B5" s="46" t="s">
        <v>84</v>
      </c>
      <c r="C5" s="202" t="s">
        <v>267</v>
      </c>
      <c r="D5" s="149">
        <v>5600</v>
      </c>
      <c r="E5" s="136">
        <v>4</v>
      </c>
      <c r="F5" s="137" t="s">
        <v>46</v>
      </c>
      <c r="G5" s="129">
        <v>2</v>
      </c>
      <c r="H5" s="120" t="s">
        <v>263</v>
      </c>
      <c r="I5" s="148">
        <f>D5*E5*G5</f>
        <v>44800</v>
      </c>
      <c r="J5" s="123" t="s">
        <v>266</v>
      </c>
      <c r="K5" s="131"/>
    </row>
    <row r="6" spans="1:11" ht="61.95" customHeight="1" x14ac:dyDescent="0.2">
      <c r="A6" s="118"/>
      <c r="B6" s="46" t="s">
        <v>87</v>
      </c>
      <c r="C6" s="160" t="s">
        <v>268</v>
      </c>
      <c r="D6" s="149"/>
      <c r="E6" s="136"/>
      <c r="F6" s="137"/>
      <c r="G6" s="129"/>
      <c r="H6" s="120"/>
      <c r="I6" s="148">
        <f>D6*E6*G6</f>
        <v>0</v>
      </c>
      <c r="J6" s="138"/>
      <c r="K6" s="131"/>
    </row>
    <row r="7" spans="1:11" ht="61.95" customHeight="1" x14ac:dyDescent="0.2">
      <c r="A7" s="118"/>
      <c r="B7" s="46" t="s">
        <v>89</v>
      </c>
      <c r="C7" s="160" t="s">
        <v>37</v>
      </c>
      <c r="D7" s="149"/>
      <c r="E7" s="136"/>
      <c r="F7" s="137"/>
      <c r="G7" s="129"/>
      <c r="H7" s="120"/>
      <c r="I7" s="148">
        <f>D7*E7*G7</f>
        <v>0</v>
      </c>
      <c r="J7" s="138"/>
      <c r="K7" s="131"/>
    </row>
    <row r="8" spans="1:11" ht="57" customHeight="1" x14ac:dyDescent="0.2">
      <c r="A8" s="118"/>
      <c r="B8" s="46" t="s">
        <v>91</v>
      </c>
      <c r="C8" s="160" t="s">
        <v>269</v>
      </c>
      <c r="D8" s="147"/>
      <c r="E8" s="136"/>
      <c r="F8" s="137"/>
      <c r="G8" s="129"/>
      <c r="H8" s="133"/>
      <c r="I8" s="148">
        <f t="shared" ref="I8:I13" si="0">D8*E8*G8</f>
        <v>0</v>
      </c>
      <c r="J8" s="54" t="s">
        <v>270</v>
      </c>
      <c r="K8" s="131"/>
    </row>
    <row r="9" spans="1:11" ht="57" customHeight="1" x14ac:dyDescent="0.2">
      <c r="A9" s="118"/>
      <c r="B9" s="46" t="s">
        <v>93</v>
      </c>
      <c r="C9" s="160" t="s">
        <v>271</v>
      </c>
      <c r="D9" s="147"/>
      <c r="E9" s="156"/>
      <c r="F9" s="137"/>
      <c r="G9" s="129"/>
      <c r="H9" s="133"/>
      <c r="I9" s="148">
        <f t="shared" si="0"/>
        <v>0</v>
      </c>
      <c r="J9" s="54"/>
    </row>
    <row r="10" spans="1:11" ht="37.200000000000003" customHeight="1" x14ac:dyDescent="0.2">
      <c r="A10" s="64" t="s">
        <v>126</v>
      </c>
      <c r="B10" s="65"/>
      <c r="C10" s="114"/>
      <c r="D10" s="150" t="s">
        <v>75</v>
      </c>
      <c r="E10" s="152" t="s">
        <v>27</v>
      </c>
      <c r="F10" s="153" t="s">
        <v>28</v>
      </c>
      <c r="G10" s="154" t="s">
        <v>27</v>
      </c>
      <c r="H10" s="155" t="s">
        <v>28</v>
      </c>
      <c r="I10" s="151">
        <f>SUM(I11:I13)</f>
        <v>0</v>
      </c>
      <c r="J10" s="37" t="s">
        <v>77</v>
      </c>
    </row>
    <row r="11" spans="1:11" ht="49.95" customHeight="1" x14ac:dyDescent="0.2">
      <c r="A11" s="116"/>
      <c r="B11" s="46" t="s">
        <v>78</v>
      </c>
      <c r="C11" s="115" t="s">
        <v>272</v>
      </c>
      <c r="D11" s="149"/>
      <c r="E11" s="129"/>
      <c r="F11" s="121" t="s">
        <v>14</v>
      </c>
      <c r="G11" s="129">
        <v>1</v>
      </c>
      <c r="H11" s="121" t="s">
        <v>273</v>
      </c>
      <c r="I11" s="148">
        <f>D11*E11*G11</f>
        <v>0</v>
      </c>
      <c r="J11" s="54"/>
      <c r="K11" s="131"/>
    </row>
    <row r="12" spans="1:11" ht="56.7" customHeight="1" x14ac:dyDescent="0.2">
      <c r="A12" s="124"/>
      <c r="B12" s="46" t="s">
        <v>81</v>
      </c>
      <c r="C12" s="115" t="s">
        <v>274</v>
      </c>
      <c r="D12" s="149"/>
      <c r="E12" s="129"/>
      <c r="F12" s="120" t="s">
        <v>14</v>
      </c>
      <c r="G12" s="129">
        <v>1</v>
      </c>
      <c r="H12" s="120" t="s">
        <v>273</v>
      </c>
      <c r="I12" s="148">
        <f t="shared" si="0"/>
        <v>0</v>
      </c>
      <c r="J12" s="54"/>
    </row>
    <row r="13" spans="1:11" ht="56.7" customHeight="1" x14ac:dyDescent="0.2">
      <c r="A13" s="119"/>
      <c r="B13" s="46" t="s">
        <v>84</v>
      </c>
      <c r="C13" s="117" t="s">
        <v>275</v>
      </c>
      <c r="D13" s="149"/>
      <c r="E13" s="129"/>
      <c r="F13" s="120" t="s">
        <v>14</v>
      </c>
      <c r="G13" s="129">
        <v>1</v>
      </c>
      <c r="H13" s="120" t="s">
        <v>273</v>
      </c>
      <c r="I13" s="148">
        <f t="shared" si="0"/>
        <v>0</v>
      </c>
      <c r="J13" s="54"/>
    </row>
    <row r="14" spans="1:11" ht="14.1" customHeight="1" x14ac:dyDescent="0.2">
      <c r="B14" s="24"/>
      <c r="C14" s="224"/>
      <c r="D14" s="224"/>
      <c r="E14" s="224"/>
      <c r="F14" s="224"/>
      <c r="G14" s="224"/>
      <c r="H14" s="224"/>
      <c r="I14" s="224"/>
    </row>
    <row r="15" spans="1:11" x14ac:dyDescent="0.2">
      <c r="A15" t="s">
        <v>276</v>
      </c>
      <c r="B15" s="24"/>
      <c r="H15" s="83"/>
      <c r="I15" s="83"/>
      <c r="J15" s="204"/>
    </row>
    <row r="16" spans="1:11" x14ac:dyDescent="0.2">
      <c r="B16" s="24"/>
      <c r="H16" s="86"/>
      <c r="I16" s="86"/>
      <c r="J16" s="204"/>
    </row>
  </sheetData>
  <mergeCells count="1">
    <mergeCell ref="C14:I14"/>
  </mergeCells>
  <phoneticPr fontId="1"/>
  <pageMargins left="0.7" right="0.7" top="0.75" bottom="0.75" header="0.3" footer="0.3"/>
  <pageSetup paperSize="9" scale="4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0B9C0AD3-9255-4326-A980-3255DFDA5056}">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Ver1_総括表（契約のみ）</vt:lpstr>
      <vt:lpstr>Ver1_オンライン（2021年度1回・2022年度1回）</vt:lpstr>
      <vt:lpstr>Ver1ハイブリッド（2022年度2回目、2023年度1回目)</vt:lpstr>
      <vt:lpstr>Ver1_訪日（2023年度2回3回）</vt:lpstr>
      <vt:lpstr>Ver2_総括表（契約のみ）</vt:lpstr>
      <vt:lpstr>Ver2_全訪日（2023年度2回3回）</vt:lpstr>
      <vt:lpstr>Ver2_27泊28日の日程表</vt:lpstr>
      <vt:lpstr>総括表</vt:lpstr>
      <vt:lpstr>①現地研修（1回実施に係る費用）</vt:lpstr>
      <vt:lpstr>②訪日研修（1回実施に係る費用）</vt:lpstr>
      <vt:lpstr>'Ver1_オンライン（2021年度1回・2022年度1回）'!Print_Area</vt:lpstr>
      <vt:lpstr>総括表!Print_Area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2024-09-03T07:52:22Z</dcterms:created>
  <dcterms:modified xsi:type="dcterms:W3CDTF">2024-09-03T07:53:50Z</dcterms:modified>
  <cp:category/>
  <cp:contentStatus/>
</cp:coreProperties>
</file>