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Kimio Yoshida\Desktop\JICAインハウスコンサル\202011\教材\20201118\"/>
    </mc:Choice>
  </mc:AlternateContent>
  <xr:revisionPtr revIDLastSave="0" documentId="13_ncr:1_{2F2656E6-E094-49E7-8605-EE3833F9E166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Serbia" sheetId="13" r:id="rId1"/>
    <sheet name="priority" sheetId="14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4" l="1"/>
  <c r="D7" i="14"/>
  <c r="E3" i="14"/>
  <c r="J3" i="14" s="1"/>
  <c r="E2" i="14"/>
  <c r="J2" i="14" s="1"/>
  <c r="E7" i="14" l="1"/>
  <c r="E6" i="14"/>
  <c r="E5" i="14"/>
  <c r="J5" i="14" s="1"/>
  <c r="E4" i="14"/>
  <c r="J4" i="14" s="1"/>
  <c r="F21" i="13" l="1"/>
  <c r="E21" i="13"/>
  <c r="D21" i="13"/>
  <c r="C21" i="13"/>
  <c r="B21" i="13"/>
  <c r="B20" i="13" l="1"/>
  <c r="B19" i="13"/>
  <c r="G21" i="13"/>
  <c r="G20" i="13"/>
  <c r="F20" i="13"/>
  <c r="E20" i="13"/>
  <c r="D20" i="13"/>
  <c r="C20" i="13"/>
  <c r="G19" i="13"/>
  <c r="F19" i="13"/>
  <c r="E19" i="13"/>
  <c r="D19" i="13"/>
  <c r="C19" i="13"/>
  <c r="G18" i="13"/>
  <c r="F18" i="13"/>
  <c r="E18" i="13"/>
  <c r="D18" i="13"/>
  <c r="C18" i="13"/>
  <c r="G17" i="13"/>
  <c r="F17" i="13"/>
  <c r="E17" i="13"/>
  <c r="D17" i="13"/>
  <c r="C17" i="13"/>
  <c r="B17" i="13"/>
  <c r="G11" i="13" l="1"/>
  <c r="G10" i="13"/>
  <c r="G9" i="13"/>
  <c r="B35" i="13"/>
  <c r="B34" i="13"/>
  <c r="B33" i="13"/>
  <c r="C33" i="13"/>
  <c r="E5" i="13"/>
  <c r="C39" i="13" l="1"/>
  <c r="C41" i="13" s="1"/>
  <c r="F5" i="13"/>
  <c r="G8" i="13"/>
  <c r="B12" i="13"/>
  <c r="D39" i="13"/>
  <c r="D41" i="13" s="1"/>
  <c r="E12" i="13"/>
  <c r="D12" i="13"/>
  <c r="C12" i="13"/>
  <c r="G6" i="13"/>
  <c r="F12" i="13" l="1"/>
  <c r="G12" i="13" s="1"/>
  <c r="B39" i="13"/>
  <c r="C40" i="13" s="1"/>
  <c r="F29" i="13" s="1"/>
  <c r="D40" i="13"/>
  <c r="F28" i="13" s="1"/>
  <c r="G5" i="13"/>
  <c r="C16" i="13" l="1"/>
  <c r="C23" i="13" s="1"/>
  <c r="E16" i="13"/>
  <c r="D16" i="13"/>
  <c r="B16" i="13"/>
  <c r="F16" i="13"/>
  <c r="F23" i="13" s="1"/>
  <c r="E23" i="13" l="1"/>
  <c r="B23" i="13"/>
  <c r="G16" i="13"/>
  <c r="D23" i="13"/>
  <c r="G23" i="13" l="1"/>
  <c r="B24" i="13" s="1"/>
  <c r="C24" i="13" l="1"/>
  <c r="E24" i="13"/>
  <c r="F24" i="13"/>
  <c r="D24" i="13"/>
  <c r="G24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Kimio Yoshida</author>
  </authors>
  <commentList>
    <comment ref="A41" authorId="0" shapeId="0" xr:uid="{41864CC7-0DB3-41E3-847B-D54EBCEDC5C9}">
      <text>
        <r>
          <rPr>
            <b/>
            <sz val="9"/>
            <color indexed="81"/>
            <rFont val="MS P ゴシック"/>
            <family val="3"/>
            <charset val="128"/>
          </rPr>
          <t>Kimio Yoshida: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<sst xmlns="http://schemas.openxmlformats.org/spreadsheetml/2006/main" count="75" uniqueCount="53">
  <si>
    <t>Final energy base</t>
    <phoneticPr fontId="2"/>
  </si>
  <si>
    <t>Industry</t>
    <phoneticPr fontId="2"/>
  </si>
  <si>
    <t>Transport</t>
    <phoneticPr fontId="2"/>
  </si>
  <si>
    <t>Residential</t>
    <phoneticPr fontId="2"/>
  </si>
  <si>
    <t>Commercial</t>
    <phoneticPr fontId="2"/>
  </si>
  <si>
    <t>Others</t>
    <phoneticPr fontId="2"/>
  </si>
  <si>
    <t>Total</t>
    <phoneticPr fontId="2"/>
  </si>
  <si>
    <t>Power</t>
    <phoneticPr fontId="2"/>
  </si>
  <si>
    <t>Coal</t>
    <phoneticPr fontId="2"/>
  </si>
  <si>
    <t>Crude oil</t>
    <phoneticPr fontId="2"/>
  </si>
  <si>
    <t>Oil Proructs</t>
    <phoneticPr fontId="2"/>
  </si>
  <si>
    <t>Gas</t>
    <phoneticPr fontId="2"/>
  </si>
  <si>
    <t>Heat</t>
    <phoneticPr fontId="2"/>
  </si>
  <si>
    <t>Total(%)</t>
    <phoneticPr fontId="2"/>
  </si>
  <si>
    <t>Back data: IEA 2017</t>
    <phoneticPr fontId="2"/>
  </si>
  <si>
    <t>Power comes from EP &amp; CHP</t>
    <phoneticPr fontId="2"/>
  </si>
  <si>
    <t>EP</t>
    <phoneticPr fontId="2"/>
  </si>
  <si>
    <t>CHP</t>
    <phoneticPr fontId="2"/>
  </si>
  <si>
    <t>Own use</t>
    <phoneticPr fontId="2"/>
  </si>
  <si>
    <t>Loss</t>
    <phoneticPr fontId="2"/>
  </si>
  <si>
    <t>Total Eff.</t>
    <phoneticPr fontId="2"/>
  </si>
  <si>
    <t>Input energy</t>
    <phoneticPr fontId="2"/>
  </si>
  <si>
    <t>Power supply</t>
    <phoneticPr fontId="2"/>
  </si>
  <si>
    <t>Heat supply</t>
    <phoneticPr fontId="2"/>
  </si>
  <si>
    <t>Eff.</t>
    <phoneticPr fontId="2"/>
  </si>
  <si>
    <t>Primary energy base (excluding biomass)</t>
    <phoneticPr fontId="2"/>
  </si>
  <si>
    <t>Total losses ％</t>
    <phoneticPr fontId="2"/>
  </si>
  <si>
    <t>Biofuel</t>
    <phoneticPr fontId="2"/>
  </si>
  <si>
    <t>Primary/ Final E</t>
    <phoneticPr fontId="2"/>
  </si>
  <si>
    <t>Electricity</t>
    <phoneticPr fontId="2"/>
  </si>
  <si>
    <t>E Total</t>
    <phoneticPr fontId="2"/>
  </si>
  <si>
    <t xml:space="preserve">Macro energy view for Serbia by 2018 IEA data　 </t>
    <phoneticPr fontId="2"/>
  </si>
  <si>
    <t>Ranking</t>
    <phoneticPr fontId="2"/>
  </si>
  <si>
    <t>Sector and energy type</t>
    <phoneticPr fontId="2"/>
  </si>
  <si>
    <t>Consumed primary energy (ktoe)</t>
    <phoneticPr fontId="2"/>
  </si>
  <si>
    <t>%</t>
    <phoneticPr fontId="2"/>
  </si>
  <si>
    <t>Eligible measuresfor saving</t>
    <phoneticPr fontId="2"/>
  </si>
  <si>
    <t>Expected saving % in sub-sector (JICA estimate)</t>
    <phoneticPr fontId="2"/>
  </si>
  <si>
    <t>Oil for transport</t>
    <phoneticPr fontId="2"/>
  </si>
  <si>
    <t>RE+EV, regulation for vehicle efficiency, LRT, MRT</t>
    <phoneticPr fontId="2"/>
  </si>
  <si>
    <r>
      <rPr>
        <b/>
        <sz val="11"/>
        <color theme="1"/>
        <rFont val="ＭＳ Ｐゴシック"/>
        <family val="3"/>
        <charset val="128"/>
      </rPr>
      <t>▲</t>
    </r>
    <r>
      <rPr>
        <b/>
        <sz val="11"/>
        <color theme="1"/>
        <rFont val="Segoe UI"/>
        <family val="2"/>
      </rPr>
      <t>30.0</t>
    </r>
    <r>
      <rPr>
        <b/>
        <sz val="11"/>
        <color theme="1"/>
        <rFont val="ＭＳ Ｐゴシック"/>
        <family val="3"/>
        <charset val="128"/>
      </rPr>
      <t>％</t>
    </r>
    <phoneticPr fontId="2"/>
  </si>
  <si>
    <t>Electricity for industry</t>
    <phoneticPr fontId="2"/>
  </si>
  <si>
    <t>▲12.5％</t>
    <phoneticPr fontId="2"/>
  </si>
  <si>
    <t>Electricty for building</t>
    <phoneticPr fontId="2"/>
  </si>
  <si>
    <t>Electricity for residential</t>
    <phoneticPr fontId="2"/>
  </si>
  <si>
    <r>
      <rPr>
        <b/>
        <sz val="11"/>
        <color theme="1"/>
        <rFont val="ＭＳ Ｐゴシック"/>
        <family val="3"/>
        <charset val="128"/>
      </rPr>
      <t>▲</t>
    </r>
    <r>
      <rPr>
        <b/>
        <sz val="11"/>
        <color theme="1"/>
        <rFont val="Segoe UI"/>
        <family val="2"/>
      </rPr>
      <t>20.0</t>
    </r>
    <r>
      <rPr>
        <b/>
        <sz val="11"/>
        <color theme="1"/>
        <rFont val="ＭＳ Ｐゴシック"/>
        <family val="3"/>
        <charset val="128"/>
      </rPr>
      <t>％</t>
    </r>
    <phoneticPr fontId="2"/>
  </si>
  <si>
    <t>40% of residential is for cooling and lighting</t>
    <phoneticPr fontId="2"/>
  </si>
  <si>
    <t>25% of industry is for cooling and lighting</t>
    <phoneticPr fontId="2"/>
  </si>
  <si>
    <t>70% of buildung is for cooling and lighting</t>
    <phoneticPr fontId="2"/>
  </si>
  <si>
    <t>Gas for industry</t>
    <phoneticPr fontId="2"/>
  </si>
  <si>
    <r>
      <rPr>
        <b/>
        <sz val="11"/>
        <color theme="1"/>
        <rFont val="ＭＳ Ｐゴシック"/>
        <family val="3"/>
        <charset val="128"/>
      </rPr>
      <t>▲</t>
    </r>
    <r>
      <rPr>
        <b/>
        <sz val="11"/>
        <color theme="1"/>
        <rFont val="Segoe UI"/>
        <family val="3"/>
        <charset val="128"/>
      </rPr>
      <t>35.0</t>
    </r>
    <r>
      <rPr>
        <b/>
        <sz val="11"/>
        <color theme="1"/>
        <rFont val="ＭＳ Ｐゴシック"/>
        <family val="3"/>
        <charset val="128"/>
      </rPr>
      <t>％</t>
    </r>
    <phoneticPr fontId="2"/>
  </si>
  <si>
    <r>
      <rPr>
        <b/>
        <sz val="11"/>
        <color theme="1"/>
        <rFont val="ＭＳ Ｐゴシック"/>
        <family val="3"/>
        <charset val="128"/>
      </rPr>
      <t>▲</t>
    </r>
    <r>
      <rPr>
        <b/>
        <sz val="11"/>
        <color theme="1"/>
        <rFont val="Segoe UI"/>
        <family val="2"/>
      </rPr>
      <t>15.8</t>
    </r>
    <r>
      <rPr>
        <b/>
        <sz val="11"/>
        <color theme="1"/>
        <rFont val="ＭＳ Ｐゴシック"/>
        <family val="3"/>
        <charset val="128"/>
      </rPr>
      <t>％</t>
    </r>
    <r>
      <rPr>
        <b/>
        <sz val="11"/>
        <color theme="1"/>
        <rFont val="Segoe UI"/>
        <family val="2"/>
      </rPr>
      <t>for total</t>
    </r>
    <phoneticPr fontId="2"/>
  </si>
  <si>
    <r>
      <t xml:space="preserve">Efficient cooling, lighting </t>
    </r>
    <r>
      <rPr>
        <b/>
        <sz val="11"/>
        <color theme="1"/>
        <rFont val="ＭＳ Ｐゴシック"/>
        <family val="3"/>
        <charset val="128"/>
      </rPr>
      <t/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</si>
</sst>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.00_ "/>
    <numFmt numFmtId="178" formatCode="#,##0.00_ ;[Red]\-#,##0.00\ "/>
  </numFmts>
  <fonts count="12"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b/>
      <sz val="11"/>
      <color theme="1"/>
      <name val="Segoe UI"/>
      <family val="2"/>
    </font>
    <font>
      <b/>
      <sz val="11"/>
      <color theme="1"/>
      <name val="Segoe UI"/>
      <family val="3"/>
      <charset val="128"/>
    </font>
    <font>
      <b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38" fontId="0" fillId="0" borderId="0" xfId="1" applyFont="1">
      <alignment vertical="center"/>
    </xf>
    <xf numFmtId="38" fontId="0" fillId="0" borderId="2" xfId="1" applyFont="1" applyBorder="1" applyAlignment="1">
      <alignment horizontal="center" vertical="center"/>
    </xf>
    <xf numFmtId="38" fontId="0" fillId="0" borderId="2" xfId="1" applyFont="1" applyBorder="1">
      <alignment vertical="center"/>
    </xf>
    <xf numFmtId="38" fontId="0" fillId="0" borderId="0" xfId="1" applyFont="1" applyBorder="1">
      <alignment vertical="center"/>
    </xf>
    <xf numFmtId="38" fontId="3" fillId="0" borderId="0" xfId="1" applyFont="1">
      <alignment vertical="center"/>
    </xf>
    <xf numFmtId="38" fontId="4" fillId="0" borderId="0" xfId="1" applyFont="1">
      <alignment vertical="center"/>
    </xf>
    <xf numFmtId="38" fontId="5" fillId="0" borderId="0" xfId="1" applyFont="1">
      <alignment vertical="center"/>
    </xf>
    <xf numFmtId="38" fontId="0" fillId="2" borderId="2" xfId="1" applyFont="1" applyFill="1" applyBorder="1">
      <alignment vertical="center"/>
    </xf>
    <xf numFmtId="177" fontId="0" fillId="2" borderId="0" xfId="0" applyNumberFormat="1" applyFill="1">
      <alignment vertical="center"/>
    </xf>
    <xf numFmtId="38" fontId="0" fillId="2" borderId="2" xfId="1" applyFont="1" applyFill="1" applyBorder="1" applyAlignment="1">
      <alignment horizontal="center" vertical="center" wrapText="1"/>
    </xf>
    <xf numFmtId="176" fontId="0" fillId="2" borderId="2" xfId="1" applyNumberFormat="1" applyFont="1" applyFill="1" applyBorder="1">
      <alignment vertical="center"/>
    </xf>
    <xf numFmtId="38" fontId="0" fillId="2" borderId="2" xfId="1" applyFont="1" applyFill="1" applyBorder="1" applyAlignment="1">
      <alignment vertical="center" wrapText="1"/>
    </xf>
    <xf numFmtId="177" fontId="0" fillId="0" borderId="5" xfId="0" applyNumberFormat="1" applyBorder="1">
      <alignment vertical="center"/>
    </xf>
    <xf numFmtId="38" fontId="0" fillId="2" borderId="0" xfId="1" applyFont="1" applyFill="1" applyBorder="1">
      <alignment vertical="center"/>
    </xf>
    <xf numFmtId="176" fontId="0" fillId="2" borderId="0" xfId="1" applyNumberFormat="1" applyFont="1" applyFill="1" applyBorder="1">
      <alignment vertical="center"/>
    </xf>
    <xf numFmtId="177" fontId="0" fillId="0" borderId="0" xfId="0" applyNumberFormat="1">
      <alignment vertical="center"/>
    </xf>
    <xf numFmtId="178" fontId="0" fillId="0" borderId="5" xfId="1" applyNumberFormat="1" applyFont="1" applyBorder="1">
      <alignment vertical="center"/>
    </xf>
    <xf numFmtId="38" fontId="8" fillId="0" borderId="2" xfId="1" applyFont="1" applyBorder="1">
      <alignment vertical="center"/>
    </xf>
    <xf numFmtId="38" fontId="8" fillId="2" borderId="2" xfId="1" applyFont="1" applyFill="1" applyBorder="1">
      <alignment vertical="center"/>
    </xf>
    <xf numFmtId="0" fontId="0" fillId="2" borderId="0" xfId="0" applyFill="1">
      <alignment vertical="center"/>
    </xf>
    <xf numFmtId="0" fontId="9" fillId="0" borderId="3" xfId="0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3" fontId="9" fillId="3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Border="1">
      <alignment vertical="center"/>
    </xf>
    <xf numFmtId="0" fontId="9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3" fontId="9" fillId="4" borderId="2" xfId="0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>
      <alignment vertical="center"/>
    </xf>
    <xf numFmtId="0" fontId="9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0" fillId="0" borderId="1" xfId="0" applyBorder="1">
      <alignment vertical="center"/>
    </xf>
    <xf numFmtId="38" fontId="0" fillId="2" borderId="3" xfId="1" applyFont="1" applyFill="1" applyBorder="1" applyAlignment="1">
      <alignment vertical="center" wrapText="1"/>
    </xf>
    <xf numFmtId="0" fontId="0" fillId="2" borderId="4" xfId="0" applyFill="1" applyBorder="1">
      <alignment vertical="center"/>
    </xf>
    <xf numFmtId="38" fontId="0" fillId="2" borderId="0" xfId="1" applyFont="1" applyFill="1" applyBorder="1" applyAlignment="1">
      <alignment vertical="center" wrapText="1"/>
    </xf>
    <xf numFmtId="0" fontId="0" fillId="2" borderId="0" xfId="0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Energy Consumption (final energy basis)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Serbia!$B$4</c:f>
              <c:strCache>
                <c:ptCount val="1"/>
                <c:pt idx="0">
                  <c:v>Industry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sz="1200" b="1"/>
                      <a:t>Industry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02E-4DB3-8B0D-DF47EE4306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Serbia!$B$12</c:f>
              <c:numCache>
                <c:formatCode>#,##0_);[Red]\(#,##0\)</c:formatCode>
                <c:ptCount val="1"/>
                <c:pt idx="0">
                  <c:v>2372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0C-4264-849C-779610376AB5}"/>
            </c:ext>
          </c:extLst>
        </c:ser>
        <c:ser>
          <c:idx val="1"/>
          <c:order val="1"/>
          <c:tx>
            <c:strRef>
              <c:f>Serbia!$C$4</c:f>
              <c:strCache>
                <c:ptCount val="1"/>
                <c:pt idx="0">
                  <c:v>Transport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sz="1200" b="1"/>
                      <a:t>Transport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602E-4DB3-8B0D-DF47EE4306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Serbia!$C$12</c:f>
              <c:numCache>
                <c:formatCode>#,##0_);[Red]\(#,##0\)</c:formatCode>
                <c:ptCount val="1"/>
                <c:pt idx="0">
                  <c:v>2122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0C-4264-849C-779610376AB5}"/>
            </c:ext>
          </c:extLst>
        </c:ser>
        <c:ser>
          <c:idx val="2"/>
          <c:order val="2"/>
          <c:tx>
            <c:strRef>
              <c:f>Serbia!$D$4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sz="1200" b="1"/>
                      <a:t>Residential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602E-4DB3-8B0D-DF47EE4306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Serbia!$D$12</c:f>
              <c:numCache>
                <c:formatCode>#,##0_);[Red]\(#,##0\)</c:formatCode>
                <c:ptCount val="1"/>
                <c:pt idx="0">
                  <c:v>2837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0C-4264-849C-779610376AB5}"/>
            </c:ext>
          </c:extLst>
        </c:ser>
        <c:ser>
          <c:idx val="3"/>
          <c:order val="3"/>
          <c:tx>
            <c:strRef>
              <c:f>Serbia!$E$4</c:f>
              <c:strCache>
                <c:ptCount val="1"/>
                <c:pt idx="0">
                  <c:v>Commercial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5699221862865588E-3"/>
                  <c:y val="6.69056362730399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sz="1200" b="1"/>
                      <a:t>Commercial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602E-4DB3-8B0D-DF47EE4306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Serbia!$E$12</c:f>
              <c:numCache>
                <c:formatCode>#,##0_);[Red]\(#,##0\)</c:formatCode>
                <c:ptCount val="1"/>
                <c:pt idx="0">
                  <c:v>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0C-4264-849C-779610376AB5}"/>
            </c:ext>
          </c:extLst>
        </c:ser>
        <c:ser>
          <c:idx val="4"/>
          <c:order val="4"/>
          <c:tx>
            <c:strRef>
              <c:f>Serbia!$F$4</c:f>
              <c:strCache>
                <c:ptCount val="1"/>
                <c:pt idx="0">
                  <c:v>Others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Others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602E-4DB3-8B0D-DF47EE4306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Serbia!$F$12</c:f>
              <c:numCache>
                <c:formatCode>#,##0_);[Red]\(#,##0\)</c:formatCode>
                <c:ptCount val="1"/>
                <c:pt idx="0">
                  <c:v>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0C-4264-849C-779610376AB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7394480"/>
        <c:axId val="607386936"/>
      </c:barChart>
      <c:catAx>
        <c:axId val="6073944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07386936"/>
        <c:crosses val="autoZero"/>
        <c:auto val="1"/>
        <c:lblAlgn val="ctr"/>
        <c:lblOffset val="100"/>
        <c:noMultiLvlLbl val="0"/>
      </c:catAx>
      <c:valAx>
        <c:axId val="607386936"/>
        <c:scaling>
          <c:orientation val="minMax"/>
          <c:max val="15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739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Energy Consumption (primary energy basis)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Serbia!$B$15</c:f>
              <c:strCache>
                <c:ptCount val="1"/>
                <c:pt idx="0">
                  <c:v>Industry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sz="1200" b="1"/>
                      <a:t>Industry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FFBE-447C-8DC9-A98AFE89DA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Serbia!$B$23</c:f>
              <c:numCache>
                <c:formatCode>#,##0_);[Red]\(#,##0\)</c:formatCode>
                <c:ptCount val="1"/>
                <c:pt idx="0">
                  <c:v>3764.9838037742966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BE-447C-8DC9-A98AFE89DA71}"/>
            </c:ext>
          </c:extLst>
        </c:ser>
        <c:ser>
          <c:idx val="1"/>
          <c:order val="1"/>
          <c:tx>
            <c:strRef>
              <c:f>Serbia!$C$15</c:f>
              <c:strCache>
                <c:ptCount val="1"/>
                <c:pt idx="0">
                  <c:v>Transport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sz="1200" b="1"/>
                      <a:t>Transport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FFBE-447C-8DC9-A98AFE89DA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Serbia!$C$23</c:f>
              <c:numCache>
                <c:formatCode>#,##0_);[Red]\(#,##0\)</c:formatCode>
                <c:ptCount val="1"/>
                <c:pt idx="0">
                  <c:v>2186.1986754966888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BE-447C-8DC9-A98AFE89DA71}"/>
            </c:ext>
          </c:extLst>
        </c:ser>
        <c:ser>
          <c:idx val="2"/>
          <c:order val="2"/>
          <c:tx>
            <c:strRef>
              <c:f>Serbia!$D$15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sz="1200" b="1"/>
                      <a:t>Residential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FFBE-447C-8DC9-A98AFE89DA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Serbia!$D$23</c:f>
              <c:numCache>
                <c:formatCode>#,##0_);[Red]\(#,##0\)</c:formatCode>
                <c:ptCount val="1"/>
                <c:pt idx="0">
                  <c:v>4423.570450609308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FBE-447C-8DC9-A98AFE89DA71}"/>
            </c:ext>
          </c:extLst>
        </c:ser>
        <c:ser>
          <c:idx val="3"/>
          <c:order val="3"/>
          <c:tx>
            <c:strRef>
              <c:f>Serbia!$E$15</c:f>
              <c:strCache>
                <c:ptCount val="1"/>
                <c:pt idx="0">
                  <c:v>Commercial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9172071277080549E-3"/>
                  <c:y val="6.8816418501263668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5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sz="1050" b="1"/>
                      <a:t>Commercial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FFBE-447C-8DC9-A98AFE89DA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Serbia!$E$23</c:f>
              <c:numCache>
                <c:formatCode>#,##0_);[Red]\(#,##0\)</c:formatCode>
                <c:ptCount val="1"/>
                <c:pt idx="0">
                  <c:v>1795.0483946230192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FBE-447C-8DC9-A98AFE89DA71}"/>
            </c:ext>
          </c:extLst>
        </c:ser>
        <c:ser>
          <c:idx val="4"/>
          <c:order val="4"/>
          <c:tx>
            <c:strRef>
              <c:f>Serbia!$F$15</c:f>
              <c:strCache>
                <c:ptCount val="1"/>
                <c:pt idx="0">
                  <c:v>Others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b="1">
                        <a:solidFill>
                          <a:schemeClr val="bg1"/>
                        </a:solidFill>
                      </a:rPr>
                      <a:t>Others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FFBE-447C-8DC9-A98AFE89DA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Serbia!$F$23</c:f>
              <c:numCache>
                <c:formatCode>#,##0_);[Red]\(#,##0\)</c:formatCode>
                <c:ptCount val="1"/>
                <c:pt idx="0">
                  <c:v>962.19867549668879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FBE-447C-8DC9-A98AFE89DA7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7152984"/>
        <c:axId val="617158560"/>
      </c:barChart>
      <c:catAx>
        <c:axId val="6171529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17158560"/>
        <c:crosses val="autoZero"/>
        <c:auto val="1"/>
        <c:lblAlgn val="ctr"/>
        <c:lblOffset val="100"/>
        <c:noMultiLvlLbl val="0"/>
      </c:catAx>
      <c:valAx>
        <c:axId val="617158560"/>
        <c:scaling>
          <c:orientation val="minMax"/>
          <c:max val="15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7152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alpha val="96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190500</xdr:colOff>
      <xdr:row>31</xdr:row>
      <xdr:rowOff>326573</xdr:rowOff>
    </xdr:from>
    <xdr:to>
      <xdr:col>16</xdr:col>
      <xdr:colOff>340179</xdr:colOff>
      <xdr:row>40</xdr:row>
      <xdr:rowOff>326573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141EED13-2618-49A2-8618-5FEF88B6EE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168" t="33684" r="25094" b="15941"/>
        <a:stretch/>
      </xdr:blipFill>
      <xdr:spPr>
        <a:xfrm>
          <a:off x="9906000" y="7973787"/>
          <a:ext cx="4272643" cy="2381250"/>
        </a:xfrm>
        <a:prstGeom prst="rect">
          <a:avLst/>
        </a:prstGeom>
      </xdr:spPr>
    </xdr:pic>
    <xdr:clientData/>
  </xdr:twoCellAnchor>
  <xdr:twoCellAnchor editAs="oneCell">
    <xdr:from>
      <xdr:col>5</xdr:col>
      <xdr:colOff>272143</xdr:colOff>
      <xdr:row>31</xdr:row>
      <xdr:rowOff>108857</xdr:rowOff>
    </xdr:from>
    <xdr:to>
      <xdr:col>10</xdr:col>
      <xdr:colOff>108856</xdr:colOff>
      <xdr:row>40</xdr:row>
      <xdr:rowOff>299358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B04A940-6B52-41CA-B98D-D4C31A8077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4142" t="22187" r="26439" b="28766"/>
        <a:stretch/>
      </xdr:blipFill>
      <xdr:spPr>
        <a:xfrm>
          <a:off x="5320393" y="7756071"/>
          <a:ext cx="4503963" cy="2571751"/>
        </a:xfrm>
        <a:prstGeom prst="rect">
          <a:avLst/>
        </a:prstGeom>
      </xdr:spPr>
    </xdr:pic>
    <xdr:clientData/>
  </xdr:twoCellAnchor>
  <xdr:twoCellAnchor>
    <xdr:from>
      <xdr:col>7</xdr:col>
      <xdr:colOff>438150</xdr:colOff>
      <xdr:row>2</xdr:row>
      <xdr:rowOff>190500</xdr:rowOff>
    </xdr:from>
    <xdr:to>
      <xdr:col>15</xdr:col>
      <xdr:colOff>638175</xdr:colOff>
      <xdr:row>12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5850CE9-55FA-4E5D-ADA2-8DC0F7C975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427039</xdr:colOff>
      <xdr:row>14</xdr:row>
      <xdr:rowOff>28576</xdr:rowOff>
    </xdr:from>
    <xdr:to>
      <xdr:col>15</xdr:col>
      <xdr:colOff>685801</xdr:colOff>
      <xdr:row>24</xdr:row>
      <xdr:rowOff>9525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1F756ADA-0C1A-4465-9DDC-260BAE763E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6</xdr:col>
      <xdr:colOff>185058</xdr:colOff>
      <xdr:row>30</xdr:row>
      <xdr:rowOff>236764</xdr:rowOff>
    </xdr:from>
    <xdr:ext cx="3906711" cy="311496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16EA1AF-E3C8-4D77-954D-4DB6201BACFD}"/>
            </a:ext>
          </a:extLst>
        </xdr:cNvPr>
        <xdr:cNvSpPr txBox="1"/>
      </xdr:nvSpPr>
      <xdr:spPr>
        <a:xfrm>
          <a:off x="5919108" y="7475764"/>
          <a:ext cx="390671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400" b="1"/>
            <a:t>Electricty consumption trend by sector (IEA 2018) </a:t>
          </a:r>
          <a:endParaRPr kumimoji="1" lang="ja-JP" altLang="en-US" sz="1400" b="1"/>
        </a:p>
      </xdr:txBody>
    </xdr:sp>
    <xdr:clientData/>
  </xdr:oneCellAnchor>
  <xdr:oneCellAnchor>
    <xdr:from>
      <xdr:col>8</xdr:col>
      <xdr:colOff>354693</xdr:colOff>
      <xdr:row>34</xdr:row>
      <xdr:rowOff>49894</xdr:rowOff>
    </xdr:from>
    <xdr:ext cx="804323" cy="311496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FCD3CB8-6582-445E-B013-7A0ECB9B8E4B}"/>
            </a:ext>
          </a:extLst>
        </xdr:cNvPr>
        <xdr:cNvSpPr txBox="1"/>
      </xdr:nvSpPr>
      <xdr:spPr>
        <a:xfrm>
          <a:off x="8709479" y="8608787"/>
          <a:ext cx="8043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400" b="1"/>
            <a:t>Industry</a:t>
          </a:r>
          <a:endParaRPr kumimoji="1" lang="ja-JP" altLang="en-US" sz="1400" b="1"/>
        </a:p>
      </xdr:txBody>
    </xdr:sp>
    <xdr:clientData/>
  </xdr:oneCellAnchor>
  <xdr:oneCellAnchor>
    <xdr:from>
      <xdr:col>8</xdr:col>
      <xdr:colOff>324305</xdr:colOff>
      <xdr:row>36</xdr:row>
      <xdr:rowOff>231321</xdr:rowOff>
    </xdr:from>
    <xdr:ext cx="1014124" cy="311496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1010D6A-BE9D-4A1D-9B51-C00254EC0CFC}"/>
            </a:ext>
          </a:extLst>
        </xdr:cNvPr>
        <xdr:cNvSpPr txBox="1"/>
      </xdr:nvSpPr>
      <xdr:spPr>
        <a:xfrm>
          <a:off x="8679091" y="9280071"/>
          <a:ext cx="1014124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400" b="1">
              <a:solidFill>
                <a:sysClr val="windowText" lastClr="000000"/>
              </a:solidFill>
            </a:rPr>
            <a:t>Residential</a:t>
          </a:r>
          <a:endParaRPr kumimoji="1" lang="ja-JP" altLang="en-US" sz="14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9</xdr:col>
      <xdr:colOff>416719</xdr:colOff>
      <xdr:row>40</xdr:row>
      <xdr:rowOff>219415</xdr:rowOff>
    </xdr:from>
    <xdr:ext cx="548612" cy="311496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6CFD00A-3D76-46A4-8DA4-462FA5FC4B0C}"/>
            </a:ext>
          </a:extLst>
        </xdr:cNvPr>
        <xdr:cNvSpPr txBox="1"/>
      </xdr:nvSpPr>
      <xdr:spPr>
        <a:xfrm>
          <a:off x="9451862" y="10247879"/>
          <a:ext cx="548612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400" b="1"/>
            <a:t>2018</a:t>
          </a:r>
          <a:endParaRPr kumimoji="1" lang="ja-JP" altLang="en-US" sz="1400" b="1"/>
        </a:p>
      </xdr:txBody>
    </xdr:sp>
    <xdr:clientData/>
  </xdr:oneCellAnchor>
  <xdr:oneCellAnchor>
    <xdr:from>
      <xdr:col>8</xdr:col>
      <xdr:colOff>342447</xdr:colOff>
      <xdr:row>38</xdr:row>
      <xdr:rowOff>208643</xdr:rowOff>
    </xdr:from>
    <xdr:ext cx="1074525" cy="311496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6E3E0E83-4383-4C8F-B9DE-A116698617EA}"/>
            </a:ext>
          </a:extLst>
        </xdr:cNvPr>
        <xdr:cNvSpPr txBox="1"/>
      </xdr:nvSpPr>
      <xdr:spPr>
        <a:xfrm>
          <a:off x="8697233" y="9747250"/>
          <a:ext cx="10745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400" b="1">
              <a:solidFill>
                <a:schemeClr val="bg1"/>
              </a:solidFill>
            </a:rPr>
            <a:t>Commercial</a:t>
          </a:r>
          <a:endParaRPr kumimoji="1" lang="ja-JP" altLang="en-US" sz="1400" b="1">
            <a:solidFill>
              <a:schemeClr val="bg1"/>
            </a:solidFill>
          </a:endParaRPr>
        </a:p>
      </xdr:txBody>
    </xdr:sp>
    <xdr:clientData/>
  </xdr:oneCellAnchor>
  <xdr:oneCellAnchor>
    <xdr:from>
      <xdr:col>15</xdr:col>
      <xdr:colOff>639536</xdr:colOff>
      <xdr:row>40</xdr:row>
      <xdr:rowOff>176894</xdr:rowOff>
    </xdr:from>
    <xdr:ext cx="548612" cy="311496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0193539-0C20-44EF-9151-81327F3F3A74}"/>
            </a:ext>
          </a:extLst>
        </xdr:cNvPr>
        <xdr:cNvSpPr txBox="1"/>
      </xdr:nvSpPr>
      <xdr:spPr>
        <a:xfrm>
          <a:off x="13756822" y="10205358"/>
          <a:ext cx="548612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400" b="1"/>
            <a:t>2018</a:t>
          </a:r>
          <a:endParaRPr kumimoji="1" lang="ja-JP" altLang="en-US" sz="1400" b="1"/>
        </a:p>
      </xdr:txBody>
    </xdr:sp>
    <xdr:clientData/>
  </xdr:oneCellAnchor>
  <xdr:oneCellAnchor>
    <xdr:from>
      <xdr:col>10</xdr:col>
      <xdr:colOff>394608</xdr:colOff>
      <xdr:row>31</xdr:row>
      <xdr:rowOff>27215</xdr:rowOff>
    </xdr:from>
    <xdr:ext cx="3777124" cy="311496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D38B7D72-2084-486F-B7CF-3814F92DD330}"/>
            </a:ext>
          </a:extLst>
        </xdr:cNvPr>
        <xdr:cNvSpPr txBox="1"/>
      </xdr:nvSpPr>
      <xdr:spPr>
        <a:xfrm>
          <a:off x="10129158" y="7504340"/>
          <a:ext cx="3777124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400" b="1"/>
            <a:t>Electricty generation trend by source (IEA 2018) </a:t>
          </a:r>
          <a:endParaRPr kumimoji="1" lang="ja-JP" altLang="en-US" sz="1400" b="1"/>
        </a:p>
      </xdr:txBody>
    </xdr:sp>
    <xdr:clientData/>
  </xdr:oneCellAnchor>
  <xdr:oneCellAnchor>
    <xdr:from>
      <xdr:col>14</xdr:col>
      <xdr:colOff>625929</xdr:colOff>
      <xdr:row>35</xdr:row>
      <xdr:rowOff>190501</xdr:rowOff>
    </xdr:from>
    <xdr:ext cx="508922" cy="311496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9657AE5B-F5A3-4851-9695-DA7C6187E405}"/>
            </a:ext>
          </a:extLst>
        </xdr:cNvPr>
        <xdr:cNvSpPr txBox="1"/>
      </xdr:nvSpPr>
      <xdr:spPr>
        <a:xfrm>
          <a:off x="13062858" y="8994322"/>
          <a:ext cx="508922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400" b="1"/>
            <a:t>Coal</a:t>
          </a:r>
          <a:endParaRPr kumimoji="1" lang="ja-JP" altLang="en-US" sz="1400" b="1"/>
        </a:p>
      </xdr:txBody>
    </xdr:sp>
    <xdr:clientData/>
  </xdr:oneCellAnchor>
  <xdr:oneCellAnchor>
    <xdr:from>
      <xdr:col>13</xdr:col>
      <xdr:colOff>625929</xdr:colOff>
      <xdr:row>31</xdr:row>
      <xdr:rowOff>367393</xdr:rowOff>
    </xdr:from>
    <xdr:ext cx="1540293" cy="311496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5B6E6803-45CC-43FC-8ED5-CA3668E971CB}"/>
            </a:ext>
          </a:extLst>
        </xdr:cNvPr>
        <xdr:cNvSpPr txBox="1"/>
      </xdr:nvSpPr>
      <xdr:spPr>
        <a:xfrm>
          <a:off x="12417879" y="7844518"/>
          <a:ext cx="154029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400" b="0"/>
            <a:t>Balance by import</a:t>
          </a:r>
          <a:endParaRPr kumimoji="1" lang="ja-JP" altLang="en-US" sz="1400" b="0"/>
        </a:p>
      </xdr:txBody>
    </xdr:sp>
    <xdr:clientData/>
  </xdr:oneCellAnchor>
  <xdr:oneCellAnchor>
    <xdr:from>
      <xdr:col>15</xdr:col>
      <xdr:colOff>326570</xdr:colOff>
      <xdr:row>38</xdr:row>
      <xdr:rowOff>108856</xdr:rowOff>
    </xdr:from>
    <xdr:ext cx="639599" cy="311496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974D1DA6-FF97-449E-8AF9-99297FD0D6C5}"/>
            </a:ext>
          </a:extLst>
        </xdr:cNvPr>
        <xdr:cNvSpPr txBox="1"/>
      </xdr:nvSpPr>
      <xdr:spPr>
        <a:xfrm>
          <a:off x="13443856" y="9647463"/>
          <a:ext cx="639599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400" b="1">
              <a:solidFill>
                <a:schemeClr val="bg1"/>
              </a:solidFill>
            </a:rPr>
            <a:t>Hydro</a:t>
          </a:r>
          <a:endParaRPr kumimoji="1" lang="ja-JP" altLang="en-US" sz="1400" b="1">
            <a:solidFill>
              <a:schemeClr val="bg1"/>
            </a:solidFill>
          </a:endParaRP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0.85505</cdr:x>
      <cdr:y>0.75</cdr:y>
    </cdr:from>
    <cdr:to>
      <cdr:x>1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ED39098-7D7E-4209-82B1-906D68D9B7AA}"/>
            </a:ext>
          </a:extLst>
        </cdr:cNvPr>
        <cdr:cNvSpPr txBox="1"/>
      </cdr:nvSpPr>
      <cdr:spPr>
        <a:xfrm xmlns:a="http://schemas.openxmlformats.org/drawingml/2006/main">
          <a:off x="4167189" y="1452562"/>
          <a:ext cx="706436" cy="4841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ktoe</a:t>
          </a:r>
          <a:endParaRPr lang="ja-JP" alt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0.84375</cdr:x>
      <cdr:y>0.72687</cdr:y>
    </cdr:from>
    <cdr:to>
      <cdr:x>1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E5434B7-4CAB-4A32-84A8-7598428A7C76}"/>
            </a:ext>
          </a:extLst>
        </cdr:cNvPr>
        <cdr:cNvSpPr txBox="1"/>
      </cdr:nvSpPr>
      <cdr:spPr>
        <a:xfrm xmlns:a="http://schemas.openxmlformats.org/drawingml/2006/main">
          <a:off x="3857624" y="1309687"/>
          <a:ext cx="714375" cy="492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ktoe</a:t>
          </a:r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C1E46-B8EE-463A-91AB-5D87D6E71F25}">
  <dimension ref="A1:P41"/>
  <sheetViews>
    <sheetView showGridLines="0" topLeftCell="A19" zoomScale="70" zoomScaleNormal="70" workbookViewId="0">
      <selection activeCell="C19" sqref="C19"/>
    </sheetView>
  </sheetViews>
  <sheetFormatPr defaultRowHeight="18.75"/>
  <cols>
    <col min="1" max="1" width="12.25" customWidth="1"/>
    <col min="2" max="2" width="19.875" style="3" customWidth="1"/>
    <col min="3" max="3" width="11" style="3" customWidth="1"/>
    <col min="4" max="4" width="11.125" style="3" bestFit="1" customWidth="1"/>
    <col min="5" max="5" width="12" style="3" bestFit="1" customWidth="1"/>
    <col min="6" max="6" width="9" style="3"/>
    <col min="7" max="7" width="9.875" style="3" bestFit="1" customWidth="1"/>
    <col min="8" max="8" width="24.625" customWidth="1"/>
    <col min="16" max="16" width="9.5" bestFit="1" customWidth="1"/>
  </cols>
  <sheetData>
    <row r="1" spans="1:16" ht="24">
      <c r="C1" s="7"/>
      <c r="D1" s="7" t="s">
        <v>31</v>
      </c>
      <c r="E1" s="8"/>
      <c r="F1" s="8"/>
      <c r="G1" s="8"/>
      <c r="H1" s="1"/>
      <c r="P1">
        <v>20201116</v>
      </c>
    </row>
    <row r="3" spans="1:16">
      <c r="A3" s="45" t="s">
        <v>0</v>
      </c>
      <c r="B3" s="46"/>
      <c r="C3" s="6"/>
      <c r="D3" s="6"/>
      <c r="E3" s="6"/>
      <c r="F3" s="6"/>
      <c r="G3" s="6"/>
    </row>
    <row r="4" spans="1:16">
      <c r="A4" s="2"/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</row>
    <row r="5" spans="1:16">
      <c r="A5" s="2" t="s">
        <v>7</v>
      </c>
      <c r="B5" s="20">
        <v>751</v>
      </c>
      <c r="C5" s="20">
        <v>32</v>
      </c>
      <c r="D5" s="20">
        <v>1153</v>
      </c>
      <c r="E5" s="20">
        <f>2+446</f>
        <v>448</v>
      </c>
      <c r="F5" s="20">
        <f>3+29</f>
        <v>32</v>
      </c>
      <c r="G5" s="5">
        <f>SUM(B5:F5)</f>
        <v>2416</v>
      </c>
    </row>
    <row r="6" spans="1:16">
      <c r="A6" s="2" t="s">
        <v>8</v>
      </c>
      <c r="B6" s="20">
        <v>292</v>
      </c>
      <c r="C6" s="20"/>
      <c r="D6" s="20">
        <v>208</v>
      </c>
      <c r="E6" s="20">
        <v>31</v>
      </c>
      <c r="F6" s="20">
        <v>5</v>
      </c>
      <c r="G6" s="5">
        <f>SUM(B6:F6)</f>
        <v>536</v>
      </c>
    </row>
    <row r="7" spans="1:16">
      <c r="A7" s="2" t="s">
        <v>9</v>
      </c>
      <c r="B7" s="20"/>
      <c r="C7" s="20"/>
      <c r="D7" s="20"/>
      <c r="E7" s="20"/>
      <c r="F7" s="20"/>
      <c r="G7" s="5"/>
    </row>
    <row r="8" spans="1:16">
      <c r="A8" s="2" t="s">
        <v>10</v>
      </c>
      <c r="B8" s="20">
        <v>327</v>
      </c>
      <c r="C8" s="20">
        <v>2079</v>
      </c>
      <c r="D8" s="20">
        <v>37</v>
      </c>
      <c r="E8" s="20">
        <v>63</v>
      </c>
      <c r="F8" s="20">
        <v>685</v>
      </c>
      <c r="G8" s="5">
        <f t="shared" ref="G8:G11" si="0">SUM(B8:F8)</f>
        <v>3191</v>
      </c>
    </row>
    <row r="9" spans="1:16">
      <c r="A9" s="2" t="s">
        <v>11</v>
      </c>
      <c r="B9" s="20">
        <v>615</v>
      </c>
      <c r="C9" s="20">
        <v>11</v>
      </c>
      <c r="D9" s="20">
        <v>194</v>
      </c>
      <c r="E9" s="20">
        <v>199</v>
      </c>
      <c r="F9" s="20">
        <v>176</v>
      </c>
      <c r="G9" s="5">
        <f t="shared" si="0"/>
        <v>1195</v>
      </c>
    </row>
    <row r="10" spans="1:16">
      <c r="A10" s="2" t="s">
        <v>12</v>
      </c>
      <c r="B10" s="20">
        <v>213</v>
      </c>
      <c r="C10" s="20"/>
      <c r="D10" s="20">
        <v>404</v>
      </c>
      <c r="E10" s="20">
        <v>121</v>
      </c>
      <c r="F10" s="20"/>
      <c r="G10" s="5">
        <f t="shared" si="0"/>
        <v>738</v>
      </c>
    </row>
    <row r="11" spans="1:16">
      <c r="A11" s="2" t="s">
        <v>27</v>
      </c>
      <c r="B11" s="20">
        <v>174</v>
      </c>
      <c r="C11" s="20"/>
      <c r="D11" s="20">
        <v>841</v>
      </c>
      <c r="E11" s="20">
        <v>27</v>
      </c>
      <c r="F11" s="20">
        <v>7</v>
      </c>
      <c r="G11" s="5">
        <f t="shared" si="0"/>
        <v>1049</v>
      </c>
    </row>
    <row r="12" spans="1:16">
      <c r="A12" s="2" t="s">
        <v>6</v>
      </c>
      <c r="B12" s="5">
        <f>SUM(B5:B11)</f>
        <v>2372</v>
      </c>
      <c r="C12" s="5">
        <f t="shared" ref="C12:F12" si="1">SUM(C5:C11)</f>
        <v>2122</v>
      </c>
      <c r="D12" s="5">
        <f t="shared" si="1"/>
        <v>2837</v>
      </c>
      <c r="E12" s="5">
        <f t="shared" si="1"/>
        <v>889</v>
      </c>
      <c r="F12" s="5">
        <f t="shared" si="1"/>
        <v>905</v>
      </c>
      <c r="G12" s="5">
        <f>SUM(B12:F12)</f>
        <v>9125</v>
      </c>
    </row>
    <row r="13" spans="1:16">
      <c r="B13" s="6"/>
      <c r="C13" s="6"/>
      <c r="D13" s="6"/>
      <c r="E13" s="6"/>
      <c r="F13" s="6"/>
      <c r="G13" s="6"/>
    </row>
    <row r="14" spans="1:16">
      <c r="A14" s="45" t="s">
        <v>25</v>
      </c>
      <c r="B14" s="46"/>
      <c r="C14" s="46"/>
    </row>
    <row r="15" spans="1:16">
      <c r="A15" s="2"/>
      <c r="B15" s="4" t="s">
        <v>1</v>
      </c>
      <c r="C15" s="4" t="s">
        <v>2</v>
      </c>
      <c r="D15" s="4" t="s">
        <v>3</v>
      </c>
      <c r="E15" s="4" t="s">
        <v>4</v>
      </c>
      <c r="F15" s="4" t="s">
        <v>5</v>
      </c>
      <c r="G15" s="4" t="s">
        <v>6</v>
      </c>
    </row>
    <row r="16" spans="1:16">
      <c r="A16" s="2" t="s">
        <v>7</v>
      </c>
      <c r="B16" s="5">
        <f>B5*$F$29</f>
        <v>2257.6626655629143</v>
      </c>
      <c r="C16" s="5">
        <f>C5*$F$29</f>
        <v>96.19867549668875</v>
      </c>
      <c r="D16" s="5">
        <f>D5*$F$29</f>
        <v>3466.1585264900664</v>
      </c>
      <c r="E16" s="5">
        <f>E5*$F$29</f>
        <v>1346.7814569536424</v>
      </c>
      <c r="F16" s="5">
        <f>F5*$F$29</f>
        <v>96.19867549668875</v>
      </c>
      <c r="G16" s="5">
        <f>SUM(B16:F16)</f>
        <v>7263</v>
      </c>
    </row>
    <row r="17" spans="1:8">
      <c r="A17" s="2" t="s">
        <v>8</v>
      </c>
      <c r="B17" s="5">
        <f>B6</f>
        <v>292</v>
      </c>
      <c r="C17" s="5">
        <f t="shared" ref="C17:G17" si="2">C6</f>
        <v>0</v>
      </c>
      <c r="D17" s="5">
        <f t="shared" si="2"/>
        <v>208</v>
      </c>
      <c r="E17" s="5">
        <f t="shared" si="2"/>
        <v>31</v>
      </c>
      <c r="F17" s="5">
        <f t="shared" si="2"/>
        <v>5</v>
      </c>
      <c r="G17" s="5">
        <f t="shared" si="2"/>
        <v>536</v>
      </c>
    </row>
    <row r="18" spans="1:8">
      <c r="A18" s="2" t="s">
        <v>9</v>
      </c>
      <c r="B18" s="5"/>
      <c r="C18" s="5">
        <f t="shared" ref="C18:G18" si="3">C7</f>
        <v>0</v>
      </c>
      <c r="D18" s="5">
        <f t="shared" si="3"/>
        <v>0</v>
      </c>
      <c r="E18" s="5">
        <f t="shared" si="3"/>
        <v>0</v>
      </c>
      <c r="F18" s="5">
        <f t="shared" si="3"/>
        <v>0</v>
      </c>
      <c r="G18" s="5">
        <f t="shared" si="3"/>
        <v>0</v>
      </c>
    </row>
    <row r="19" spans="1:8">
      <c r="A19" s="2" t="s">
        <v>10</v>
      </c>
      <c r="B19" s="5">
        <f t="shared" ref="B19:B20" si="4">B8</f>
        <v>327</v>
      </c>
      <c r="C19" s="5">
        <f t="shared" ref="C19:G19" si="5">C8</f>
        <v>2079</v>
      </c>
      <c r="D19" s="5">
        <f t="shared" si="5"/>
        <v>37</v>
      </c>
      <c r="E19" s="5">
        <f t="shared" si="5"/>
        <v>63</v>
      </c>
      <c r="F19" s="5">
        <f t="shared" si="5"/>
        <v>685</v>
      </c>
      <c r="G19" s="5">
        <f t="shared" si="5"/>
        <v>3191</v>
      </c>
    </row>
    <row r="20" spans="1:8">
      <c r="A20" s="2" t="s">
        <v>11</v>
      </c>
      <c r="B20" s="5">
        <f t="shared" si="4"/>
        <v>615</v>
      </c>
      <c r="C20" s="5">
        <f t="shared" ref="C20:G20" si="6">C9</f>
        <v>11</v>
      </c>
      <c r="D20" s="5">
        <f t="shared" si="6"/>
        <v>194</v>
      </c>
      <c r="E20" s="5">
        <f t="shared" si="6"/>
        <v>199</v>
      </c>
      <c r="F20" s="5">
        <f t="shared" si="6"/>
        <v>176</v>
      </c>
      <c r="G20" s="5">
        <f t="shared" si="6"/>
        <v>1195</v>
      </c>
    </row>
    <row r="21" spans="1:8">
      <c r="A21" s="2" t="s">
        <v>12</v>
      </c>
      <c r="B21" s="5">
        <f>B10*$F$28</f>
        <v>273.32113821138216</v>
      </c>
      <c r="C21" s="5">
        <f t="shared" ref="C21:F21" si="7">C10*$F$28</f>
        <v>0</v>
      </c>
      <c r="D21" s="5">
        <f t="shared" si="7"/>
        <v>518.41192411924123</v>
      </c>
      <c r="E21" s="5">
        <f t="shared" si="7"/>
        <v>155.26693766937672</v>
      </c>
      <c r="F21" s="5">
        <f t="shared" si="7"/>
        <v>0</v>
      </c>
      <c r="G21" s="5">
        <f t="shared" ref="G21" si="8">G10</f>
        <v>738</v>
      </c>
    </row>
    <row r="22" spans="1:8">
      <c r="A22" s="2" t="s">
        <v>27</v>
      </c>
      <c r="B22" s="5"/>
      <c r="C22" s="5"/>
      <c r="D22" s="5"/>
      <c r="E22" s="5"/>
      <c r="F22" s="5"/>
      <c r="G22" s="5"/>
    </row>
    <row r="23" spans="1:8">
      <c r="A23" s="2" t="s">
        <v>6</v>
      </c>
      <c r="B23" s="5">
        <f>SUM(B16:B22)</f>
        <v>3764.9838037742966</v>
      </c>
      <c r="C23" s="5">
        <f>SUM(C16:C22)</f>
        <v>2186.1986754966888</v>
      </c>
      <c r="D23" s="5">
        <f>SUM(D16:D22)</f>
        <v>4423.570450609308</v>
      </c>
      <c r="E23" s="5">
        <f>SUM(E16:E22)</f>
        <v>1795.0483946230192</v>
      </c>
      <c r="F23" s="5">
        <f>SUM(F16:F22)</f>
        <v>962.19867549668879</v>
      </c>
      <c r="G23" s="5">
        <f>SUM(B23:F23)</f>
        <v>13132.000000000002</v>
      </c>
    </row>
    <row r="24" spans="1:8">
      <c r="A24" s="2" t="s">
        <v>13</v>
      </c>
      <c r="B24" s="5">
        <f>B23/G23*100</f>
        <v>28.670300059201161</v>
      </c>
      <c r="C24" s="5">
        <f>C23/G23*100</f>
        <v>16.64787294773598</v>
      </c>
      <c r="D24" s="5">
        <f>D23/G23*100</f>
        <v>33.685428347618853</v>
      </c>
      <c r="E24" s="5">
        <f>E23/G23*100</f>
        <v>13.669268920370234</v>
      </c>
      <c r="F24" s="5">
        <f>F23/G23*100</f>
        <v>7.327129725073779</v>
      </c>
      <c r="G24" s="5">
        <f>SUM(B24:F24)</f>
        <v>100</v>
      </c>
    </row>
    <row r="27" spans="1:8" ht="19.5" thickBot="1"/>
    <row r="28" spans="1:8" ht="19.5" thickBot="1">
      <c r="C28" s="9" t="s">
        <v>12</v>
      </c>
      <c r="D28" s="9" t="s">
        <v>28</v>
      </c>
      <c r="E28" s="9"/>
      <c r="F28" s="19">
        <f>1/D40</f>
        <v>1.2831978319783199</v>
      </c>
    </row>
    <row r="29" spans="1:8" ht="19.5" thickBot="1">
      <c r="A29" s="9" t="s">
        <v>14</v>
      </c>
      <c r="B29" s="9"/>
      <c r="C29" s="9" t="s">
        <v>29</v>
      </c>
      <c r="D29" s="9" t="s">
        <v>28</v>
      </c>
      <c r="E29" s="9"/>
      <c r="F29" s="15">
        <f>1/C40</f>
        <v>3.0062086092715234</v>
      </c>
      <c r="G29" s="9"/>
      <c r="H29" s="18"/>
    </row>
    <row r="30" spans="1:8">
      <c r="A30" s="3"/>
      <c r="F30"/>
    </row>
    <row r="31" spans="1:8">
      <c r="A31" s="10" t="s">
        <v>15</v>
      </c>
      <c r="B31" s="10"/>
      <c r="C31" s="10"/>
      <c r="D31" s="10"/>
      <c r="E31" s="47" t="s">
        <v>20</v>
      </c>
      <c r="F31"/>
      <c r="G31" s="49"/>
    </row>
    <row r="32" spans="1:8" ht="33" customHeight="1">
      <c r="A32" s="10"/>
      <c r="B32" s="12" t="s">
        <v>21</v>
      </c>
      <c r="C32" s="12" t="s">
        <v>22</v>
      </c>
      <c r="D32" s="12" t="s">
        <v>23</v>
      </c>
      <c r="E32" s="48"/>
      <c r="F32"/>
      <c r="G32" s="50"/>
    </row>
    <row r="33" spans="1:9">
      <c r="A33" s="10" t="s">
        <v>16</v>
      </c>
      <c r="B33" s="21">
        <f>2161+2165+10+5</f>
        <v>4341</v>
      </c>
      <c r="C33" s="21">
        <f>2161+10+5</f>
        <v>2176</v>
      </c>
      <c r="D33" s="21"/>
      <c r="E33" s="10"/>
      <c r="F33"/>
      <c r="G33" s="16"/>
    </row>
    <row r="34" spans="1:9">
      <c r="A34" s="10" t="s">
        <v>17</v>
      </c>
      <c r="B34" s="21">
        <f>992+267+1930</f>
        <v>3189</v>
      </c>
      <c r="C34" s="21">
        <v>992</v>
      </c>
      <c r="D34" s="21">
        <v>267</v>
      </c>
      <c r="E34" s="10"/>
      <c r="F34"/>
      <c r="G34" s="16"/>
    </row>
    <row r="35" spans="1:9">
      <c r="A35" s="10" t="s">
        <v>12</v>
      </c>
      <c r="B35" s="21">
        <f>597+83</f>
        <v>680</v>
      </c>
      <c r="C35" s="21"/>
      <c r="D35" s="21">
        <v>597</v>
      </c>
      <c r="E35" s="10"/>
      <c r="F35"/>
      <c r="G35" s="16"/>
      <c r="I35" s="11"/>
    </row>
    <row r="36" spans="1:9">
      <c r="A36" s="10" t="s">
        <v>18</v>
      </c>
      <c r="B36" s="21"/>
      <c r="C36" s="21">
        <v>362</v>
      </c>
      <c r="D36" s="21">
        <v>52</v>
      </c>
      <c r="E36" s="10"/>
      <c r="F36"/>
      <c r="G36" s="16"/>
      <c r="I36" s="11"/>
    </row>
    <row r="37" spans="1:9">
      <c r="A37" s="10" t="s">
        <v>19</v>
      </c>
      <c r="B37" s="21"/>
      <c r="C37" s="21">
        <v>390</v>
      </c>
      <c r="D37" s="21">
        <v>74</v>
      </c>
      <c r="E37" s="10"/>
      <c r="F37"/>
      <c r="G37" s="16"/>
    </row>
    <row r="38" spans="1:9">
      <c r="A38" s="10"/>
      <c r="B38" s="10"/>
      <c r="C38" s="10"/>
      <c r="D38" s="10"/>
      <c r="E38" s="10"/>
      <c r="F38"/>
      <c r="G38" s="16"/>
    </row>
    <row r="39" spans="1:9">
      <c r="A39" s="10" t="s">
        <v>30</v>
      </c>
      <c r="B39" s="10">
        <f>B33+B34-D34</f>
        <v>7263</v>
      </c>
      <c r="C39" s="10">
        <f>C33+C34-C36-C37</f>
        <v>2416</v>
      </c>
      <c r="D39" s="10">
        <f>D34+D35-D36-D37</f>
        <v>738</v>
      </c>
      <c r="E39" s="10"/>
      <c r="F39"/>
      <c r="G39" s="16"/>
    </row>
    <row r="40" spans="1:9">
      <c r="A40" s="10" t="s">
        <v>24</v>
      </c>
      <c r="B40" s="10"/>
      <c r="C40" s="13">
        <f>C39/B39</f>
        <v>0.33264491257056311</v>
      </c>
      <c r="D40" s="13">
        <f>D39/(D34+B35)</f>
        <v>0.7793030623020063</v>
      </c>
      <c r="E40" s="13"/>
      <c r="F40"/>
      <c r="G40" s="17"/>
    </row>
    <row r="41" spans="1:9" ht="37.5">
      <c r="A41" s="14" t="s">
        <v>26</v>
      </c>
      <c r="B41" s="10"/>
      <c r="C41" s="13">
        <f>(C36+C37)/(C36+C37+C39)</f>
        <v>0.23737373737373738</v>
      </c>
      <c r="D41" s="13">
        <f>(D36+D37)/(D36+D37+D39)</f>
        <v>0.14583333333333334</v>
      </c>
      <c r="E41" s="10"/>
      <c r="F41"/>
      <c r="G41" s="16"/>
    </row>
  </sheetData>
  <mergeCells count="4">
    <mergeCell ref="A3:B3"/>
    <mergeCell ref="A14:C14"/>
    <mergeCell ref="E31:E32"/>
    <mergeCell ref="G31:G32"/>
  </mergeCells>
  <phoneticPr fontId="2"/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85273-1D65-4CFB-AC3D-C55FBB21B525}">
  <dimension ref="B1:J12"/>
  <sheetViews>
    <sheetView showGridLines="0" tabSelected="1" zoomScale="90" zoomScaleNormal="90" workbookViewId="0">
      <selection activeCell="G5" sqref="G5"/>
    </sheetView>
  </sheetViews>
  <sheetFormatPr defaultRowHeight="18.75"/>
  <cols>
    <col min="2" max="2" width="8.5" customWidth="1"/>
    <col min="3" max="3" width="26.125" customWidth="1"/>
    <col min="4" max="4" width="17.75" customWidth="1"/>
    <col min="6" max="6" width="3.25" customWidth="1"/>
    <col min="7" max="7" width="24.25" customWidth="1"/>
    <col min="8" max="8" width="16.875" customWidth="1"/>
  </cols>
  <sheetData>
    <row r="1" spans="2:10" ht="51" customHeight="1">
      <c r="B1" s="23" t="s">
        <v>32</v>
      </c>
      <c r="C1" s="24" t="s">
        <v>33</v>
      </c>
      <c r="D1" s="25" t="s">
        <v>34</v>
      </c>
      <c r="E1" s="26" t="s">
        <v>35</v>
      </c>
      <c r="G1" s="25" t="s">
        <v>36</v>
      </c>
      <c r="H1" s="25" t="s">
        <v>37</v>
      </c>
    </row>
    <row r="2" spans="2:10" ht="51" customHeight="1">
      <c r="B2" s="32">
        <v>1</v>
      </c>
      <c r="C2" s="32" t="s">
        <v>44</v>
      </c>
      <c r="D2" s="33">
        <v>3466</v>
      </c>
      <c r="E2" s="29">
        <f>D2/$D$8</f>
        <v>0.26393542491623517</v>
      </c>
      <c r="G2" s="34" t="s">
        <v>52</v>
      </c>
      <c r="H2" s="35" t="s">
        <v>45</v>
      </c>
      <c r="J2">
        <f>E2*0.2</f>
        <v>5.2787084983247037E-2</v>
      </c>
    </row>
    <row r="3" spans="2:10" ht="51" customHeight="1">
      <c r="B3" s="32">
        <v>2</v>
      </c>
      <c r="C3" s="32" t="s">
        <v>41</v>
      </c>
      <c r="D3" s="33">
        <v>2258</v>
      </c>
      <c r="E3" s="29">
        <f>D3/$D$8</f>
        <v>0.1719463904964971</v>
      </c>
      <c r="G3" s="34" t="s">
        <v>52</v>
      </c>
      <c r="H3" s="35" t="s">
        <v>42</v>
      </c>
      <c r="J3">
        <f>E3*0.125</f>
        <v>2.1493298812062137E-2</v>
      </c>
    </row>
    <row r="4" spans="2:10" ht="51" customHeight="1">
      <c r="B4" s="27">
        <v>3</v>
      </c>
      <c r="C4" s="27" t="s">
        <v>38</v>
      </c>
      <c r="D4" s="28">
        <v>2079</v>
      </c>
      <c r="E4" s="29">
        <f>D4/$D$8</f>
        <v>0.15831556503198294</v>
      </c>
      <c r="G4" s="30" t="s">
        <v>39</v>
      </c>
      <c r="H4" s="31" t="s">
        <v>40</v>
      </c>
      <c r="J4">
        <f>E4*0.3</f>
        <v>4.7494669509594876E-2</v>
      </c>
    </row>
    <row r="5" spans="2:10" ht="39.75" customHeight="1">
      <c r="B5" s="32">
        <v>4</v>
      </c>
      <c r="C5" s="32" t="s">
        <v>43</v>
      </c>
      <c r="D5" s="33">
        <v>1347</v>
      </c>
      <c r="E5" s="29">
        <f>D5/$D$8</f>
        <v>0.10257386536704234</v>
      </c>
      <c r="G5" s="34" t="s">
        <v>52</v>
      </c>
      <c r="H5" s="35" t="s">
        <v>50</v>
      </c>
      <c r="J5">
        <f>E5*0.35</f>
        <v>3.5900852878464819E-2</v>
      </c>
    </row>
    <row r="6" spans="2:10" ht="30.75" customHeight="1">
      <c r="B6" s="36">
        <v>5</v>
      </c>
      <c r="C6" s="36" t="s">
        <v>49</v>
      </c>
      <c r="D6" s="37">
        <v>615</v>
      </c>
      <c r="E6" s="38">
        <f t="shared" ref="E6" si="0">D6/$D$8</f>
        <v>4.6832165702101733E-2</v>
      </c>
      <c r="F6" s="22"/>
      <c r="G6" s="39"/>
      <c r="H6" s="40"/>
    </row>
    <row r="7" spans="2:10" ht="28.5" customHeight="1">
      <c r="B7" s="2"/>
      <c r="C7" s="41" t="s">
        <v>5</v>
      </c>
      <c r="D7" s="42">
        <f>D8-D2-D3-D4-D5-D6</f>
        <v>3367</v>
      </c>
      <c r="E7" s="29">
        <f>D7/$D$8</f>
        <v>0.25639658848614072</v>
      </c>
      <c r="G7" s="25"/>
      <c r="H7" s="25"/>
    </row>
    <row r="8" spans="2:10" ht="28.5" customHeight="1">
      <c r="B8" s="41" t="s">
        <v>6</v>
      </c>
      <c r="C8" s="2"/>
      <c r="D8" s="42">
        <v>13132</v>
      </c>
      <c r="E8" s="29">
        <v>1</v>
      </c>
      <c r="G8" s="43"/>
      <c r="H8" s="44" t="s">
        <v>51</v>
      </c>
      <c r="J8">
        <f>SUM(J2:J7)</f>
        <v>0.15767590618336885</v>
      </c>
    </row>
    <row r="10" spans="2:10">
      <c r="G10" t="s">
        <v>46</v>
      </c>
    </row>
    <row r="11" spans="2:10">
      <c r="G11" t="s">
        <v>47</v>
      </c>
    </row>
    <row r="12" spans="2:10">
      <c r="G12" t="s">
        <v>48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Serbia</vt:lpstr>
      <vt:lpstr>priority</vt:lpstr>
    </vt:vector>
  </TitlesOfParts>
  <Company>JICA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Takeshi MORI</dc:creator>
  <cp:lastModifiedBy>Kimio Yoshida</cp:lastModifiedBy>
  <dcterms:created xsi:type="dcterms:W3CDTF">2020-03-30T02:08:36Z</dcterms:created>
  <dcterms:modified xsi:type="dcterms:W3CDTF">2020-11-18T08:08:55Z</dcterms:modified>
</cp:coreProperties>
</file>