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13" i="16" l="1"/>
  <c r="G13" i="16"/>
  <c r="E13" i="16"/>
  <c r="G28" i="1" l="1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24" i="1" l="1"/>
  <c r="G23" i="1"/>
  <c r="G20" i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G76" i="6" s="1"/>
  <c r="J12" i="11"/>
  <c r="F53" i="6"/>
  <c r="G53" i="6"/>
  <c r="G54" i="6"/>
  <c r="G61" i="6"/>
  <c r="G65" i="6"/>
  <c r="F12" i="6"/>
  <c r="G12" i="6"/>
  <c r="F13" i="6"/>
  <c r="G13" i="6"/>
  <c r="F14" i="6"/>
  <c r="G14" i="6"/>
  <c r="G34" i="6" s="1"/>
  <c r="F15" i="6"/>
  <c r="G15" i="6"/>
  <c r="F16" i="6"/>
  <c r="G16" i="6"/>
  <c r="F17" i="6"/>
  <c r="G17" i="6"/>
  <c r="G40" i="6" s="1"/>
  <c r="F18" i="6"/>
  <c r="G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0" i="6"/>
  <c r="G71" i="6"/>
  <c r="G35" i="6"/>
  <c r="H71" i="6" s="1"/>
  <c r="M14" i="6" s="1"/>
  <c r="G72" i="6"/>
  <c r="G36" i="6"/>
  <c r="G73" i="6"/>
  <c r="G37" i="6"/>
  <c r="H73" i="6" s="1"/>
  <c r="G74" i="6"/>
  <c r="G38" i="6"/>
  <c r="H74" i="6" s="1"/>
  <c r="G75" i="6"/>
  <c r="G39" i="6"/>
  <c r="G77" i="6"/>
  <c r="G41" i="6"/>
  <c r="G78" i="6"/>
  <c r="G42" i="6"/>
  <c r="H78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T17" i="3"/>
  <c r="K17" i="3"/>
  <c r="N17" i="3"/>
  <c r="V17" i="3"/>
  <c r="O20" i="3"/>
  <c r="T20" i="3"/>
  <c r="K20" i="3"/>
  <c r="N20" i="3"/>
  <c r="V20" i="3"/>
  <c r="K9" i="3"/>
  <c r="N9" i="3"/>
  <c r="Q9" i="3"/>
  <c r="O9" i="3"/>
  <c r="T9" i="3"/>
  <c r="V9" i="3"/>
  <c r="K10" i="3"/>
  <c r="N10" i="3"/>
  <c r="Q10" i="3"/>
  <c r="O10" i="3"/>
  <c r="T10" i="3"/>
  <c r="V10" i="3"/>
  <c r="K11" i="3"/>
  <c r="N11" i="3"/>
  <c r="Q11" i="3"/>
  <c r="O11" i="3"/>
  <c r="T11" i="3"/>
  <c r="V11" i="3"/>
  <c r="K12" i="3"/>
  <c r="N12" i="3"/>
  <c r="Q12" i="3"/>
  <c r="O12" i="3"/>
  <c r="T12" i="3"/>
  <c r="V12" i="3"/>
  <c r="K13" i="3"/>
  <c r="N13" i="3"/>
  <c r="Q13" i="3"/>
  <c r="O13" i="3"/>
  <c r="T13" i="3"/>
  <c r="V13" i="3"/>
  <c r="K14" i="3"/>
  <c r="N14" i="3"/>
  <c r="Q14" i="3"/>
  <c r="O14" i="3"/>
  <c r="T14" i="3"/>
  <c r="V14" i="3"/>
  <c r="K15" i="3"/>
  <c r="N15" i="3"/>
  <c r="Q15" i="3"/>
  <c r="O15" i="3"/>
  <c r="T15" i="3"/>
  <c r="V15" i="3"/>
  <c r="K16" i="3"/>
  <c r="N16" i="3"/>
  <c r="Q16" i="3"/>
  <c r="O16" i="3"/>
  <c r="T16" i="3"/>
  <c r="V16" i="3"/>
  <c r="K18" i="3"/>
  <c r="N18" i="3"/>
  <c r="Q18" i="3"/>
  <c r="O18" i="3"/>
  <c r="T18" i="3"/>
  <c r="V18" i="3"/>
  <c r="K19" i="3"/>
  <c r="N19" i="3"/>
  <c r="Q19" i="3"/>
  <c r="O19" i="3"/>
  <c r="T19" i="3"/>
  <c r="V19" i="3"/>
  <c r="K21" i="3"/>
  <c r="N21" i="3"/>
  <c r="Q21" i="3"/>
  <c r="O21" i="3"/>
  <c r="T21" i="3"/>
  <c r="V21" i="3"/>
  <c r="K22" i="3"/>
  <c r="N22" i="3"/>
  <c r="Q22" i="3"/>
  <c r="O22" i="3"/>
  <c r="T22" i="3"/>
  <c r="V22" i="3"/>
  <c r="K23" i="3"/>
  <c r="N23" i="3"/>
  <c r="Q23" i="3"/>
  <c r="T23" i="3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F6" i="3"/>
  <c r="E47" i="3"/>
  <c r="E9" i="3" s="1"/>
  <c r="E48" i="3"/>
  <c r="E11" i="3" s="1"/>
  <c r="E12" i="3"/>
  <c r="E46" i="3"/>
  <c r="E13" i="3" s="1"/>
  <c r="E51" i="3"/>
  <c r="E17" i="3"/>
  <c r="E49" i="3"/>
  <c r="E19" i="3" s="1"/>
  <c r="E50" i="3"/>
  <c r="E22" i="3" s="1"/>
  <c r="E21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/>
  <c r="K26" i="3"/>
  <c r="Q26" i="3"/>
  <c r="K27" i="3"/>
  <c r="Q27" i="3"/>
  <c r="K28" i="3"/>
  <c r="Q28" i="3"/>
  <c r="K29" i="3"/>
  <c r="Q29" i="3"/>
  <c r="K30" i="3"/>
  <c r="Q30" i="3"/>
  <c r="K31" i="3"/>
  <c r="Q31" i="3"/>
  <c r="K32" i="3"/>
  <c r="Q32" i="3"/>
  <c r="K33" i="3"/>
  <c r="Q33" i="3"/>
  <c r="K34" i="3"/>
  <c r="Q34" i="3"/>
  <c r="K35" i="3"/>
  <c r="Q35" i="3"/>
  <c r="K36" i="3"/>
  <c r="Q36" i="3"/>
  <c r="K37" i="3"/>
  <c r="Q37" i="3"/>
  <c r="K38" i="3"/>
  <c r="Q38" i="3"/>
  <c r="K39" i="3"/>
  <c r="Q39" i="3"/>
  <c r="K40" i="3"/>
  <c r="Q40" i="3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G20" i="21" s="1"/>
  <c r="G21" i="21" s="1"/>
  <c r="E16" i="21" s="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H9" i="16" s="1"/>
  <c r="E20" i="16"/>
  <c r="E21" i="16" s="1"/>
  <c r="G20" i="16"/>
  <c r="G21" i="16" s="1"/>
  <c r="G22" i="16" s="1"/>
  <c r="K41" i="3"/>
  <c r="Q41" i="3"/>
  <c r="C16" i="3"/>
  <c r="B16" i="3"/>
  <c r="T31" i="3"/>
  <c r="N31" i="3"/>
  <c r="G31" i="3"/>
  <c r="C31" i="3"/>
  <c r="B31" i="3"/>
  <c r="T30" i="3"/>
  <c r="N30" i="3"/>
  <c r="G30" i="3"/>
  <c r="C30" i="3"/>
  <c r="B30" i="3"/>
  <c r="T29" i="3"/>
  <c r="N29" i="3"/>
  <c r="G29" i="3"/>
  <c r="C29" i="3"/>
  <c r="B29" i="3"/>
  <c r="T28" i="3"/>
  <c r="N28" i="3"/>
  <c r="G28" i="3"/>
  <c r="C28" i="3"/>
  <c r="B28" i="3"/>
  <c r="T27" i="3"/>
  <c r="N27" i="3"/>
  <c r="G27" i="3"/>
  <c r="C27" i="3"/>
  <c r="B27" i="3"/>
  <c r="T26" i="3"/>
  <c r="N26" i="3"/>
  <c r="G26" i="3"/>
  <c r="C26" i="3"/>
  <c r="B26" i="3"/>
  <c r="T25" i="3"/>
  <c r="N25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T36" i="3"/>
  <c r="N36" i="3"/>
  <c r="G36" i="3"/>
  <c r="C36" i="3"/>
  <c r="B36" i="3"/>
  <c r="T35" i="3"/>
  <c r="N35" i="3"/>
  <c r="G35" i="3"/>
  <c r="C35" i="3"/>
  <c r="B35" i="3"/>
  <c r="T34" i="3"/>
  <c r="N34" i="3"/>
  <c r="G34" i="3"/>
  <c r="C34" i="3"/>
  <c r="B34" i="3"/>
  <c r="T33" i="3"/>
  <c r="N33" i="3"/>
  <c r="G33" i="3"/>
  <c r="C33" i="3"/>
  <c r="B33" i="3"/>
  <c r="T32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T37" i="3"/>
  <c r="T38" i="3"/>
  <c r="T39" i="3"/>
  <c r="T40" i="3"/>
  <c r="T41" i="3"/>
  <c r="N37" i="3"/>
  <c r="N38" i="3"/>
  <c r="N39" i="3"/>
  <c r="N40" i="3"/>
  <c r="N41" i="3"/>
  <c r="C9" i="3"/>
  <c r="B9" i="3"/>
  <c r="F62" i="6"/>
  <c r="F83" i="6"/>
  <c r="E25" i="10"/>
  <c r="E33" i="10"/>
  <c r="F21" i="8"/>
  <c r="C16" i="8"/>
  <c r="F13" i="4"/>
  <c r="F16" i="4"/>
  <c r="F29" i="4"/>
  <c r="F30" i="4"/>
  <c r="D24" i="4"/>
  <c r="F13" i="8"/>
  <c r="C4" i="8"/>
  <c r="F9" i="4"/>
  <c r="F12" i="4"/>
  <c r="F29" i="8"/>
  <c r="C24" i="8"/>
  <c r="F17" i="4"/>
  <c r="F20" i="4"/>
  <c r="E12" i="10"/>
  <c r="F37" i="4"/>
  <c r="F38" i="4"/>
  <c r="D32" i="4"/>
  <c r="E19" i="10"/>
  <c r="F21" i="4"/>
  <c r="F22" i="4"/>
  <c r="D7" i="4"/>
  <c r="F40" i="4"/>
  <c r="E5" i="4"/>
  <c r="E34" i="10"/>
  <c r="E35" i="10"/>
  <c r="E3" i="10"/>
  <c r="G62" i="6"/>
  <c r="F22" i="16" l="1"/>
  <c r="H20" i="16"/>
  <c r="F21" i="16"/>
  <c r="E22" i="16"/>
  <c r="H21" i="16"/>
  <c r="G13" i="21"/>
  <c r="G14" i="21" s="1"/>
  <c r="E6" i="21" s="1"/>
  <c r="E4" i="21" s="1"/>
  <c r="G25" i="1" s="1"/>
  <c r="E16" i="3"/>
  <c r="E18" i="3"/>
  <c r="E10" i="3"/>
  <c r="E24" i="3"/>
  <c r="E20" i="3"/>
  <c r="E15" i="3"/>
  <c r="E14" i="3"/>
  <c r="E23" i="3"/>
  <c r="H79" i="6"/>
  <c r="H70" i="6"/>
  <c r="M13" i="6" s="1"/>
  <c r="O13" i="6" s="1"/>
  <c r="G80" i="6"/>
  <c r="H68" i="6"/>
  <c r="H66" i="6"/>
  <c r="H76" i="6"/>
  <c r="M16" i="6" s="1"/>
  <c r="G29" i="6"/>
  <c r="H65" i="6" s="1"/>
  <c r="M12" i="6" s="1"/>
  <c r="H72" i="6"/>
  <c r="H77" i="6"/>
  <c r="H75" i="6"/>
  <c r="M15" i="6" s="1"/>
  <c r="O15" i="6" s="1"/>
  <c r="Q15" i="6" s="1"/>
  <c r="H69" i="6"/>
  <c r="H67" i="6"/>
  <c r="G27" i="6"/>
  <c r="G83" i="6" s="1"/>
  <c r="G84" i="6" s="1"/>
  <c r="E8" i="6" s="1"/>
  <c r="G16" i="1" s="1"/>
  <c r="O16" i="6"/>
  <c r="Q16" i="6" s="1"/>
  <c r="O14" i="6"/>
  <c r="Q14" i="6" s="1"/>
  <c r="H22" i="16" l="1"/>
  <c r="E42" i="3"/>
  <c r="E43" i="3" s="1"/>
  <c r="F4" i="3" s="1"/>
  <c r="G22" i="1" s="1"/>
  <c r="G21" i="1" s="1"/>
  <c r="G19" i="1" s="1"/>
  <c r="Q13" i="6"/>
  <c r="G44" i="6"/>
  <c r="H80" i="6"/>
  <c r="M27" i="6"/>
  <c r="M28" i="6" s="1"/>
  <c r="O12" i="6"/>
  <c r="O27" i="6" s="1"/>
  <c r="O28" i="6" s="1"/>
  <c r="M6" i="6" s="1"/>
  <c r="G17" i="1" s="1"/>
  <c r="B27" i="21" l="1"/>
  <c r="G27" i="21" s="1"/>
  <c r="G28" i="21" s="1"/>
  <c r="E23" i="21" s="1"/>
  <c r="E3" i="4"/>
  <c r="C27" i="21"/>
  <c r="Q12" i="6"/>
  <c r="Q27" i="6" s="1"/>
  <c r="Q28" i="6" s="1"/>
  <c r="M8" i="6" s="1"/>
  <c r="G18" i="1" s="1"/>
  <c r="G15" i="1" s="1"/>
  <c r="G29" i="1" l="1"/>
  <c r="G30" i="1" s="1"/>
  <c r="H30" i="20" s="1"/>
  <c r="E6" i="6"/>
  <c r="G31" i="1" l="1"/>
  <c r="E11" i="1" s="1"/>
  <c r="C30" i="20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<sst xmlns="http://schemas.openxmlformats.org/spreadsheetml/2006/main" count="773" uniqueCount="389">
  <si>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</si>
  <si>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</si>
  <si>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</si>
  <si>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</si>
  <si>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</si>
  <si>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</si>
  <si>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</si>
  <si>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</si>
  <si>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</si>
  <si>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</si>
  <si>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</si>
  <si>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</si>
  <si>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</si>
  <si>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</si>
  <si>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</si>
  <si>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</si>
  <si>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</si>
  <si>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</si>
  <si>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</si>
  <si>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</si>
  <si>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</si>
  <si>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</si>
  <si>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</si>
  <si>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</si>
  <si>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</si>
  <si>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</si>
  <si>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</si>
  <si>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</si>
  <si>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</si>
  <si>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</si>
  <si>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</si>
  <si>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</si>
  <si>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</si>
  <si>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</si>
  <si>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</si>
  <si>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</si>
  <si>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</si>
  <si>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</si>
  <si>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</si>
  <si>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</si>
  <si>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</si>
  <si>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</si>
  <si>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</si>
  <si>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</si>
  <si>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</si>
  <si>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</si>
  <si>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</si>
  <si>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</si>
  <si>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</si>
  <si>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</si>
  <si>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</si>
  <si>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</si>
  <si>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</si>
  <si>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</si>
  <si>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</si>
  <si>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</si>
  <si>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</si>
  <si>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</si>
  <si>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</si>
  <si>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</si>
  <si>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</si>
  <si>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</si>
  <si>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</si>
  <si>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</si>
  <si>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</si>
  <si>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</si>
  <si>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</si>
  <si>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</si>
  <si>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</si>
  <si>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</si>
  <si>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</si>
  <si>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</si>
  <si>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</si>
  <si>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</si>
  <si>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</si>
  <si>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</si>
  <si>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</si>
  <si>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</si>
  <si>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</si>
  <si>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</si>
  <si>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</si>
  <si>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</si>
  <si>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</si>
  <si>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</si>
  <si>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</si>
  <si>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</si>
  <si>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</si>
  <si>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</si>
  <si>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</si>
  <si>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</si>
  <si>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</si>
  <si>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</si>
  <si>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</si>
  <si>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</si>
  <si>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</si>
  <si>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</si>
  <si>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</si>
  <si>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</si>
  <si>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</si>
  <si>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</si>
  <si>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</si>
  <si>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</si>
  <si>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</si>
  <si>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</si>
  <si>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</si>
  <si>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</si>
  <si>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</si>
  <si>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</si>
  <si>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</si>
  <si>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</si>
  <si>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</si>
  <si>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</si>
  <si>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</si>
  <si>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</si>
  <si>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</si>
  <si>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</si>
  <si>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</si>
  <si>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</si>
  <si>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</si>
  <si>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</si>
  <si>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</si>
  <si>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記</t>
    <rPh sb="0" eb="1">
      <t>キ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</si>
  <si>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</si>
  <si>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</si>
  <si>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</si>
  <si>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</si>
  <si>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</si>
  <si>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</si>
  <si>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</si>
  <si>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</si>
  <si>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</si>
  <si>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</si>
  <si>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</si>
  <si>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</si>
  <si>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</si>
  <si>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</si>
  <si>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</si>
  <si>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</si>
  <si>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</si>
  <si>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</si>
  <si>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</si>
  <si>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</si>
  <si>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</si>
  <si>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</si>
  <si>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</si>
  <si>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</si>
  <si>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</si>
  <si>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</si>
  <si>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</si>
  <si>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</si>
  <si>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</si>
  <si>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</si>
  <si>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</si>
  <si>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</si>
  <si>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</si>
  <si>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</si>
  <si>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</si>
  <si>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</si>
  <si>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</si>
  <si>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</si>
  <si>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</si>
  <si>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</si>
  <si>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</si>
  <si>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</si>
  <si>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</si>
  <si>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</si>
  <si>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</si>
  <si>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</si>
  <si>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</si>
  <si>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</si>
  <si>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</si>
  <si>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</si>
  <si>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</si>
  <si>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</si>
  <si>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</si>
  <si>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</si>
  <si>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</si>
  <si>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</si>
  <si>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</si>
  <si>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</si>
  <si>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</si>
  <si>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</si>
  <si>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</si>
  <si>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</si>
  <si>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</si>
  <si>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</si>
  <si>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</si>
  <si>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</si>
  <si>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</si>
  <si>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</si>
  <si>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</si>
  <si>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</si>
  <si>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</si>
  <si>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</si>
  <si>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</si>
  <si>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</si>
  <si>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</si>
  <si>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</si>
  <si>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</si>
  <si>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</si>
  <si>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</si>
  <si>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</si>
  <si>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</si>
  <si>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</si>
  <si>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</si>
  <si>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</si>
  <si>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</si>
  <si>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</si>
  <si>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</si>
  <si>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</si>
  <si>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</si>
  <si>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</si>
  <si>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</si>
  <si>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</si>
  <si>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</si>
  <si>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</si>
  <si>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</si>
  <si>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</si>
  <si>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</si>
  <si>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</si>
  <si>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</si>
  <si>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</si>
  <si>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</si>
  <si>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</si>
  <si>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</si>
  <si>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</si>
  <si>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</si>
  <si>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</si>
  <si>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</si>
  <si>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</si>
  <si>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</si>
  <si>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</si>
  <si>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</si>
  <si>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</si>
  <si>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</si>
  <si>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</si>
  <si>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</si>
  <si>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</si>
  <si>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</si>
  <si>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</si>
  <si>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</si>
  <si>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</si>
  <si>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</si>
  <si>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</si>
  <si>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</si>
  <si>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</si>
  <si>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</si>
  <si>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</si>
  <si>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</si>
  <si>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</si>
  <si>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</si>
  <si>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</si>
  <si>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</si>
  <si>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</si>
  <si>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</si>
  <si>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</si>
  <si>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</si>
  <si>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</si>
  <si>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</si>
  <si>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</si>
  <si>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</si>
  <si>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</si>
  <si>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</si>
  <si>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</si>
  <si>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</si>
  <si>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</si>
  <si>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</si>
  <si>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</si>
  <si>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</si>
  <si>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</si>
  <si>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</si>
  <si>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</si>
  <si>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</si>
  <si>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</si>
  <si>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</si>
  <si>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</si>
  <si>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</si>
  <si>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</si>
  <si>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</si>
  <si>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</si>
  <si>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</si>
  <si>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</si>
  <si>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</si>
  <si>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</si>
  <si>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</si>
  <si>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</si>
  <si>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</si>
  <si>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</si>
  <si>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</si>
  <si>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</si>
  <si>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</si>
  <si>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</si>
  <si>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</si>
  <si>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</si>
  <si>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</si>
  <si>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</si>
  <si>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</si>
  <si>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</si>
  <si>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（注1）外部人材については所属分類が３種類あります。その他原価、一般管理費等を算出するため、企業ごとに分類・枝番を選択してください。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51" eb="53">
      <t>ブンルイ</t>
    </rPh>
    <phoneticPr fontId="2"/>
  </si>
  <si>
    <t>田中　正樹
（大阪）</t>
    <rPh sb="0" eb="2">
      <t>タナカ</t>
    </rPh>
    <rPh sb="3" eb="5">
      <t>マサキ</t>
    </rPh>
    <rPh sb="7" eb="9">
      <t>オオサカ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</si>
  <si>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</si>
  <si>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本田　慶介
（大阪）</t>
    <rPh sb="0" eb="2">
      <t>ホンダ</t>
    </rPh>
    <rPh sb="3" eb="5">
      <t>ケイスケ</t>
    </rPh>
    <rPh sb="7" eb="9">
      <t>オオサカ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</si>
  <si>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</si>
  <si>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阿部　一朗
（東京）</t>
    <rPh sb="0" eb="2">
      <t>アベ</t>
    </rPh>
    <rPh sb="3" eb="4">
      <t>イチ</t>
    </rPh>
    <rPh sb="4" eb="5">
      <t>ロウ</t>
    </rPh>
    <rPh sb="7" eb="9">
      <t>トウキョウ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</si>
  <si>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</si>
  <si>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半沢　直樹
（東京）</t>
    <rPh sb="0" eb="2">
      <t>ハンザワ</t>
    </rPh>
    <rPh sb="3" eb="5">
      <t>ナオキ</t>
    </rPh>
    <rPh sb="7" eb="9">
      <t>トウキョウ</t>
    </rPh>
    <phoneticPr fontId="2"/>
  </si>
  <si>
    <t>パートナー連携</t>
    <rPh sb="5" eb="7">
      <t>レンケイ</t>
    </rPh>
    <phoneticPr fontId="2"/>
  </si>
  <si>
    <t>鈴木　花子
（ハノイ）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</si>
  <si>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</si>
  <si>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国際　太郎
（埼玉）</t>
    <rPh sb="0" eb="2">
      <t>コクサイ</t>
    </rPh>
    <rPh sb="3" eb="5">
      <t>タロウ</t>
    </rPh>
    <rPh sb="7" eb="9">
      <t>サイタマ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</si>
  <si>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</si>
  <si>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高橋　雅子
（神奈川）</t>
    <rPh sb="0" eb="2">
      <t>タカハシ</t>
    </rPh>
    <rPh sb="3" eb="5">
      <t>マサコ</t>
    </rPh>
    <rPh sb="7" eb="10">
      <t>カナガワ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</si>
  <si>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</si>
  <si>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石田　次郎
（長野）</t>
    <rPh sb="0" eb="2">
      <t>イシダ</t>
    </rPh>
    <rPh sb="3" eb="5">
      <t>ジロウ</t>
    </rPh>
    <rPh sb="7" eb="9">
      <t>ナガノ</t>
    </rPh>
    <phoneticPr fontId="2"/>
  </si>
  <si>
    <t>肥料設計/開発効果</t>
    <rPh sb="0" eb="2">
      <t>ヒリョウ</t>
    </rPh>
    <rPh sb="2" eb="4">
      <t>セッケイ</t>
    </rPh>
    <rPh sb="5" eb="7">
      <t>カイハツ</t>
    </rPh>
    <rPh sb="7" eb="9">
      <t>コウカ</t>
    </rPh>
    <phoneticPr fontId="2"/>
  </si>
  <si>
    <t>㈱YXZホールティングス</t>
  </si>
  <si>
    <t>㈱FIFAコンサルタント</t>
  </si>
  <si>
    <t>DDDコンサル㈱</t>
  </si>
  <si>
    <t>個人</t>
    <rPh sb="0" eb="2">
      <t>コジン</t>
    </rPh>
    <phoneticPr fontId="2"/>
  </si>
  <si>
    <t>㈱YXZホールティングス（補強：SSS大学）</t>
    <rPh sb="13" eb="15">
      <t>ホキョウ</t>
    </rPh>
    <rPh sb="19" eb="21">
      <t>ダイガク</t>
    </rPh>
    <phoneticPr fontId="2"/>
  </si>
  <si>
    <t>GGG科学</t>
    <rPh sb="3" eb="5">
      <t>カガク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</si>
  <si>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</si>
  <si>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</si>
  <si>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</si>
  <si>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</si>
  <si>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</si>
  <si>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</si>
  <si>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</si>
  <si>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</si>
  <si>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</si>
  <si>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</si>
  <si>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</si>
  <si>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</si>
  <si>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</si>
  <si>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</si>
  <si>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</si>
  <si>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</si>
  <si>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</si>
  <si>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</si>
  <si>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</si>
  <si>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</si>
  <si>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</si>
  <si>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</si>
  <si>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</si>
  <si>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</si>
  <si>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</si>
  <si>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</si>
  <si>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</si>
  <si>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</si>
  <si>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</si>
  <si>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</si>
  <si>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</si>
  <si>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</si>
  <si>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</si>
  <si>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</si>
  <si>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</si>
  <si>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</si>
  <si>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</si>
  <si>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</si>
  <si>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</si>
  <si>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</si>
  <si>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</si>
  <si>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</si>
  <si>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佐藤　次郎
（京都）</t>
    <rPh sb="0" eb="2">
      <t>サトウ</t>
    </rPh>
    <rPh sb="3" eb="5">
      <t>ジロウ</t>
    </rPh>
    <rPh sb="7" eb="9">
      <t>キョウト</t>
    </rPh>
    <phoneticPr fontId="2"/>
  </si>
  <si>
    <t>システム設計</t>
    <rPh sb="4" eb="6">
      <t>セッケイ</t>
    </rPh>
    <phoneticPr fontId="2"/>
  </si>
  <si>
    <t>C-2</t>
  </si>
  <si>
    <t>○○大学</t>
    <rPh sb="2" eb="4">
      <t>ダイガク</t>
    </rPh>
    <phoneticPr fontId="2"/>
  </si>
  <si>
    <t>海外市場調査</t>
  </si>
  <si>
    <t>星　輝
（千葉）</t>
    <rPh sb="0" eb="1">
      <t>ホシ</t>
    </rPh>
    <rPh sb="2" eb="3">
      <t>カガヤ</t>
    </rPh>
    <rPh sb="5" eb="7">
      <t>チバ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</si>
  <si>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</si>
  <si>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</si>
  <si>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</si>
  <si>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</si>
  <si>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</si>
  <si>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</si>
  <si>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</si>
  <si>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</si>
  <si>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</si>
  <si>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</si>
  <si>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</si>
  <si>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</si>
  <si>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</si>
  <si>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</si>
  <si>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</si>
  <si>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</si>
  <si>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に係る最終見積書の提出について</t>
    <rPh sb="3" eb="5">
      <t>サイシュウ</t>
    </rPh>
    <phoneticPr fontId="2"/>
  </si>
  <si>
    <t>　　標記業務に係る最終見積書を下記のとおり提出いたします。</t>
    <rPh sb="9" eb="11">
      <t>サイシュウ</t>
    </rPh>
    <rPh sb="11" eb="14">
      <t>ミツモリショ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</si>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</sst>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2" borderId="22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8731250"/>
          <a:ext cx="2116667" cy="433916"/>
        </a:xfrm>
        <a:prstGeom prst="wedgeRoundRectCallout">
          <a:avLst>
            <a:gd name="adj1" fmla="val 61196"/>
            <a:gd name="adj2" fmla="val -72797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14</xdr:col>
      <xdr:colOff>687916</xdr:colOff>
      <xdr:row>41</xdr:row>
      <xdr:rowOff>105834</xdr:rowOff>
    </xdr:from>
    <xdr:to>
      <xdr:col>19</xdr:col>
      <xdr:colOff>836083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9884833" y="9038167"/>
          <a:ext cx="2116667" cy="825500"/>
        </a:xfrm>
        <a:prstGeom prst="wedgeRoundRectCallout">
          <a:avLst>
            <a:gd name="adj1" fmla="val -17804"/>
            <a:gd name="adj2" fmla="val -29812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8</xdr:col>
      <xdr:colOff>105834</xdr:colOff>
      <xdr:row>22</xdr:row>
      <xdr:rowOff>0</xdr:rowOff>
    </xdr:from>
    <xdr:to>
      <xdr:col>13</xdr:col>
      <xdr:colOff>709084</xdr:colOff>
      <xdr:row>23</xdr:row>
      <xdr:rowOff>84668</xdr:rowOff>
    </xdr:to>
    <xdr:sp macro="" textlink="">
      <xdr:nvSpPr>
        <xdr:cNvPr id="16" name="角丸四角形吹き出し 15"/>
        <xdr:cNvSpPr/>
      </xdr:nvSpPr>
      <xdr:spPr>
        <a:xfrm>
          <a:off x="6085417" y="7789333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  <xdr:twoCellAnchor>
    <xdr:from>
      <xdr:col>19</xdr:col>
      <xdr:colOff>550332</xdr:colOff>
      <xdr:row>23</xdr:row>
      <xdr:rowOff>95252</xdr:rowOff>
    </xdr:from>
    <xdr:to>
      <xdr:col>21</xdr:col>
      <xdr:colOff>1015999</xdr:colOff>
      <xdr:row>40</xdr:row>
      <xdr:rowOff>222252</xdr:rowOff>
    </xdr:to>
    <xdr:sp macro="" textlink="">
      <xdr:nvSpPr>
        <xdr:cNvPr id="17" name="角丸四角形吹き出し 16"/>
        <xdr:cNvSpPr/>
      </xdr:nvSpPr>
      <xdr:spPr>
        <a:xfrm>
          <a:off x="11715749" y="8265585"/>
          <a:ext cx="2222500" cy="508000"/>
        </a:xfrm>
        <a:prstGeom prst="wedgeRoundRectCallout">
          <a:avLst>
            <a:gd name="adj1" fmla="val -11577"/>
            <a:gd name="adj2" fmla="val -14151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1" t="s">
        <v>177</v>
      </c>
      <c r="B1" s="471"/>
      <c r="C1" s="471"/>
    </row>
    <row r="2" spans="1:3" ht="18" customHeight="1">
      <c r="A2" s="141" t="s">
        <v>175</v>
      </c>
      <c r="B2" s="141"/>
      <c r="C2" s="141"/>
    </row>
    <row r="3" spans="1:3" ht="18" customHeight="1">
      <c r="A3" s="308" t="s">
        <v>176</v>
      </c>
      <c r="B3" s="141" t="s">
        <v>249</v>
      </c>
      <c r="C3" s="141"/>
    </row>
    <row r="4" spans="1:3" ht="18" customHeight="1">
      <c r="A4" s="308" t="s">
        <v>176</v>
      </c>
      <c r="B4" s="141" t="s">
        <v>250</v>
      </c>
      <c r="C4" s="141"/>
    </row>
    <row r="5" spans="1:3" ht="18" customHeight="1">
      <c r="A5" s="308" t="s">
        <v>176</v>
      </c>
      <c r="B5" s="141" t="s">
        <v>251</v>
      </c>
      <c r="C5" s="141"/>
    </row>
    <row r="6" spans="1:3" ht="18" customHeight="1">
      <c r="A6" s="308" t="s">
        <v>176</v>
      </c>
      <c r="B6" s="141" t="s">
        <v>252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178</v>
      </c>
      <c r="C8" s="259" t="s">
        <v>179</v>
      </c>
    </row>
    <row r="9" spans="1:3" ht="85.5">
      <c r="A9" s="468" t="s">
        <v>182</v>
      </c>
      <c r="B9" s="310" t="s">
        <v>180</v>
      </c>
      <c r="C9" s="325" t="s">
        <v>372</v>
      </c>
    </row>
    <row r="10" spans="1:3" ht="28.5">
      <c r="A10" s="469"/>
      <c r="B10" s="310" t="s">
        <v>181</v>
      </c>
      <c r="C10" s="325" t="s">
        <v>373</v>
      </c>
    </row>
    <row r="11" spans="1:3" ht="67.5" customHeight="1">
      <c r="A11" s="470" t="s">
        <v>194</v>
      </c>
      <c r="B11" s="423" t="s">
        <v>362</v>
      </c>
      <c r="C11" s="325" t="s">
        <v>371</v>
      </c>
    </row>
    <row r="12" spans="1:3" ht="41.25" customHeight="1">
      <c r="A12" s="470"/>
      <c r="B12" s="310" t="s">
        <v>183</v>
      </c>
      <c r="C12" s="325" t="s">
        <v>203</v>
      </c>
    </row>
    <row r="13" spans="1:3" ht="39.75" customHeight="1">
      <c r="A13" s="470"/>
      <c r="B13" s="312" t="s">
        <v>186</v>
      </c>
      <c r="C13" s="325" t="s">
        <v>242</v>
      </c>
    </row>
    <row r="14" spans="1:3" ht="128.25">
      <c r="A14" s="470"/>
      <c r="B14" s="312" t="s">
        <v>191</v>
      </c>
      <c r="C14" s="325" t="s">
        <v>253</v>
      </c>
    </row>
    <row r="15" spans="1:3" ht="36.75" customHeight="1">
      <c r="A15" s="470"/>
      <c r="B15" s="312" t="s">
        <v>192</v>
      </c>
      <c r="C15" s="325" t="s">
        <v>237</v>
      </c>
    </row>
    <row r="16" spans="1:3" ht="42.75">
      <c r="A16" s="470"/>
      <c r="B16" s="375" t="s">
        <v>384</v>
      </c>
      <c r="C16" s="325" t="s">
        <v>383</v>
      </c>
    </row>
    <row r="17" spans="1:3" ht="41.25" customHeight="1">
      <c r="A17" s="470"/>
      <c r="B17" s="459" t="s">
        <v>193</v>
      </c>
      <c r="C17" s="460" t="s">
        <v>195</v>
      </c>
    </row>
    <row r="18" spans="1:3" ht="43.5" thickBot="1">
      <c r="A18" s="461"/>
      <c r="B18" s="462" t="s">
        <v>377</v>
      </c>
      <c r="C18" s="463" t="s">
        <v>378</v>
      </c>
    </row>
    <row r="19" spans="1:3" ht="18" customHeight="1">
      <c r="A19" s="464"/>
      <c r="B19" s="464"/>
      <c r="C19" s="465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151</v>
      </c>
      <c r="C21" s="141"/>
    </row>
    <row r="22" spans="1:3" ht="65.25" customHeight="1">
      <c r="A22" s="141"/>
      <c r="B22" s="310" t="s">
        <v>241</v>
      </c>
      <c r="C22" s="311" t="s">
        <v>238</v>
      </c>
    </row>
    <row r="23" spans="1:3" ht="54.75" customHeight="1">
      <c r="A23" s="141"/>
      <c r="B23" s="313" t="s">
        <v>197</v>
      </c>
      <c r="C23" s="311" t="s">
        <v>198</v>
      </c>
    </row>
    <row r="24" spans="1:3" ht="41.25" customHeight="1">
      <c r="A24" s="141"/>
      <c r="B24" s="310" t="s">
        <v>243</v>
      </c>
      <c r="C24" s="371" t="s">
        <v>244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L34" sqref="L34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145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204</v>
      </c>
      <c r="B4" s="47"/>
      <c r="C4" s="107">
        <f>F13</f>
        <v>1900000</v>
      </c>
      <c r="D4" s="41" t="s">
        <v>11</v>
      </c>
      <c r="E4" s="41"/>
      <c r="F4" s="41"/>
      <c r="G4" s="41"/>
    </row>
    <row r="5" spans="1:8" ht="20.25" customHeight="1">
      <c r="A5" s="41"/>
      <c r="B5" s="322" t="s">
        <v>213</v>
      </c>
      <c r="C5" s="43" t="s">
        <v>214</v>
      </c>
      <c r="D5" s="274" t="s">
        <v>215</v>
      </c>
      <c r="E5" s="43" t="s">
        <v>46</v>
      </c>
      <c r="F5" s="239" t="s">
        <v>216</v>
      </c>
      <c r="G5" s="380" t="s">
        <v>217</v>
      </c>
      <c r="H5" s="251" t="s">
        <v>171</v>
      </c>
    </row>
    <row r="6" spans="1:8" ht="20.25" customHeight="1">
      <c r="A6" s="41"/>
      <c r="B6" s="230" t="s">
        <v>356</v>
      </c>
      <c r="C6" s="108"/>
      <c r="D6" s="238">
        <v>500000</v>
      </c>
      <c r="E6" s="109">
        <v>2</v>
      </c>
      <c r="F6" s="237">
        <f t="shared" ref="F6:F12" si="0">D6*E6</f>
        <v>1000000</v>
      </c>
      <c r="G6" s="381"/>
      <c r="H6" s="252"/>
    </row>
    <row r="7" spans="1:8" ht="20.25" customHeight="1">
      <c r="A7" s="41"/>
      <c r="B7" s="230" t="s">
        <v>357</v>
      </c>
      <c r="C7" s="108"/>
      <c r="D7" s="238">
        <v>300000</v>
      </c>
      <c r="E7" s="110">
        <v>3</v>
      </c>
      <c r="F7" s="237">
        <f t="shared" si="0"/>
        <v>900000</v>
      </c>
      <c r="G7" s="381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81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81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81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81"/>
      <c r="H11" s="252"/>
    </row>
    <row r="12" spans="1:8" ht="20.25" customHeight="1">
      <c r="A12" s="41"/>
      <c r="B12" s="230" t="s">
        <v>129</v>
      </c>
      <c r="C12" s="108"/>
      <c r="D12" s="238"/>
      <c r="E12" s="110"/>
      <c r="F12" s="237">
        <f t="shared" si="0"/>
        <v>0</v>
      </c>
      <c r="G12" s="381"/>
      <c r="H12" s="252"/>
    </row>
    <row r="13" spans="1:8" ht="20.25" customHeight="1" thickBot="1">
      <c r="A13" s="41"/>
      <c r="B13" s="578" t="s">
        <v>73</v>
      </c>
      <c r="C13" s="579"/>
      <c r="D13" s="233"/>
      <c r="E13" s="115"/>
      <c r="F13" s="232">
        <f>SUM(F6:F12)</f>
        <v>1900000</v>
      </c>
      <c r="G13" s="382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205</v>
      </c>
      <c r="B16" s="111"/>
      <c r="C16" s="107">
        <f>F21</f>
        <v>200000</v>
      </c>
      <c r="D16" s="41" t="s">
        <v>11</v>
      </c>
      <c r="E16" s="47"/>
      <c r="F16" s="47"/>
      <c r="G16" s="47"/>
    </row>
    <row r="17" spans="1:8" ht="20.25" customHeight="1">
      <c r="A17" s="106"/>
      <c r="B17" s="322" t="s">
        <v>213</v>
      </c>
      <c r="C17" s="43" t="s">
        <v>214</v>
      </c>
      <c r="D17" s="274" t="s">
        <v>215</v>
      </c>
      <c r="E17" s="43" t="s">
        <v>46</v>
      </c>
      <c r="F17" s="239" t="s">
        <v>218</v>
      </c>
      <c r="G17" s="380" t="s">
        <v>217</v>
      </c>
      <c r="H17" s="251" t="s">
        <v>171</v>
      </c>
    </row>
    <row r="18" spans="1:8" ht="20.25" customHeight="1">
      <c r="A18" s="41"/>
      <c r="B18" s="230" t="s">
        <v>356</v>
      </c>
      <c r="C18" s="108"/>
      <c r="D18" s="238">
        <v>200000</v>
      </c>
      <c r="E18" s="109">
        <v>1</v>
      </c>
      <c r="F18" s="237">
        <f>D18*E18</f>
        <v>200000</v>
      </c>
      <c r="G18" s="381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81"/>
      <c r="H19" s="252"/>
    </row>
    <row r="20" spans="1:8" ht="20.25" customHeight="1">
      <c r="A20" s="41"/>
      <c r="B20" s="230" t="s">
        <v>129</v>
      </c>
      <c r="C20" s="108"/>
      <c r="D20" s="238"/>
      <c r="E20" s="110"/>
      <c r="F20" s="237">
        <f>D20*E20</f>
        <v>0</v>
      </c>
      <c r="G20" s="381"/>
      <c r="H20" s="252"/>
    </row>
    <row r="21" spans="1:8" ht="20.25" customHeight="1" thickBot="1">
      <c r="A21" s="41"/>
      <c r="B21" s="500" t="s">
        <v>74</v>
      </c>
      <c r="C21" s="577"/>
      <c r="D21" s="234"/>
      <c r="E21" s="112"/>
      <c r="F21" s="232">
        <f>SUM(F18:F20)</f>
        <v>200000</v>
      </c>
      <c r="G21" s="382"/>
      <c r="H21" s="253"/>
    </row>
    <row r="22" spans="1:8" ht="20.25" customHeight="1">
      <c r="A22" s="41"/>
      <c r="B22" s="275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206</v>
      </c>
      <c r="C24" s="107">
        <f>F29</f>
        <v>150000</v>
      </c>
      <c r="D24" s="41" t="s">
        <v>11</v>
      </c>
    </row>
    <row r="25" spans="1:8" ht="20.25" customHeight="1">
      <c r="B25" s="322" t="s">
        <v>213</v>
      </c>
      <c r="C25" s="43" t="s">
        <v>23</v>
      </c>
      <c r="D25" s="274" t="s">
        <v>60</v>
      </c>
      <c r="E25" s="43" t="s">
        <v>61</v>
      </c>
      <c r="F25" s="274" t="s">
        <v>62</v>
      </c>
      <c r="G25" s="380" t="s">
        <v>217</v>
      </c>
      <c r="H25" s="251" t="s">
        <v>171</v>
      </c>
    </row>
    <row r="26" spans="1:8" ht="20.25" customHeight="1">
      <c r="B26" s="230" t="s">
        <v>358</v>
      </c>
      <c r="C26" s="57"/>
      <c r="D26" s="243">
        <v>150000</v>
      </c>
      <c r="E26" s="57">
        <v>1</v>
      </c>
      <c r="F26" s="237">
        <f>D26*E26</f>
        <v>150000</v>
      </c>
      <c r="G26" s="383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3"/>
      <c r="H27" s="252"/>
    </row>
    <row r="28" spans="1:8" ht="20.25" customHeight="1">
      <c r="B28" s="230" t="s">
        <v>129</v>
      </c>
      <c r="C28" s="57"/>
      <c r="D28" s="243"/>
      <c r="E28" s="57"/>
      <c r="F28" s="237">
        <f>D28*E28</f>
        <v>0</v>
      </c>
      <c r="G28" s="383"/>
      <c r="H28" s="252"/>
    </row>
    <row r="29" spans="1:8" ht="20.25" customHeight="1" thickBot="1">
      <c r="B29" s="500" t="s">
        <v>75</v>
      </c>
      <c r="C29" s="577"/>
      <c r="D29" s="233"/>
      <c r="E29" s="117"/>
      <c r="F29" s="242">
        <f>SUM(F26:F28)</f>
        <v>150000</v>
      </c>
      <c r="G29" s="384"/>
      <c r="H29" s="253"/>
    </row>
    <row r="30" spans="1:8" ht="20.25" customHeight="1">
      <c r="B30" s="275"/>
      <c r="C30" s="275"/>
      <c r="D30" s="235"/>
      <c r="E30" s="235"/>
      <c r="F30" s="235"/>
      <c r="G30" s="275"/>
    </row>
    <row r="31" spans="1:8" ht="20.25" customHeight="1">
      <c r="B31" s="47" t="s">
        <v>219</v>
      </c>
    </row>
    <row r="32" spans="1:8" ht="20.25" customHeight="1">
      <c r="A32" s="41"/>
      <c r="B32" s="99" t="s">
        <v>130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2" sqref="A2:I30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82" t="str">
        <f>IF(様式1!B5="見積金額内訳書","",IF(様式1!B5="最終見積金額内訳書","",Q6))</f>
        <v/>
      </c>
      <c r="C2" s="582"/>
      <c r="D2" s="582"/>
      <c r="G2" s="141"/>
      <c r="H2" s="141"/>
      <c r="I2" s="308"/>
    </row>
    <row r="3" spans="1:17" ht="17.25">
      <c r="A3" s="141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41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22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164</v>
      </c>
      <c r="H5" s="130" t="s">
        <v>247</v>
      </c>
      <c r="I5" s="131" t="s">
        <v>139</v>
      </c>
    </row>
    <row r="6" spans="1:17" ht="30" customHeight="1" thickTop="1">
      <c r="A6" s="424">
        <v>1</v>
      </c>
      <c r="B6" s="309" t="str">
        <f>IF($A6="","",VLOOKUP($A6,従事者明細!$A$3:$I$52,2))</f>
        <v>田中　正樹
（大阪）</v>
      </c>
      <c r="C6" s="122" t="str">
        <f>IF($A6="","",VLOOKUP($A6,従事者明細!$A$3:$I$52,3))</f>
        <v>業務主任/事業計画策定</v>
      </c>
      <c r="D6" s="122" t="str">
        <f>IF($A6="","",VLOOKUP($A6,従事者明細!$A$3:$I$52,5))</f>
        <v>㈱YXZホールティングス</v>
      </c>
      <c r="E6" s="137" t="str">
        <f>IF($A6="","",VLOOKUP($A6,従事者明細!$A$3:$I$52,4))</f>
        <v>Z</v>
      </c>
      <c r="F6" s="138">
        <f>IF($A6="","",VLOOKUP($A6,従事者明細!$A$3:$I$52,6))</f>
        <v>2</v>
      </c>
      <c r="G6" s="143">
        <f>IF($A6="","",VLOOKUP($A6,従事者明細!$A$3:$I$52,7))</f>
        <v>20372</v>
      </c>
      <c r="H6" s="139" t="str">
        <f>IF($A6="","",VLOOKUP($A6,従事者明細!$A$3:$I$52,8))</f>
        <v>　○○工業大学卒
　△△△大学院修了</v>
      </c>
      <c r="I6" s="391" t="str">
        <f>IF($A6="","",VLOOKUP($A6,従事者明細!$A$3:$I$52,9))</f>
        <v>19**年3月
19**年9月</v>
      </c>
      <c r="Q6" t="s">
        <v>170</v>
      </c>
    </row>
    <row r="7" spans="1:17" ht="30" customHeight="1">
      <c r="A7" s="425">
        <v>2</v>
      </c>
      <c r="B7" s="309" t="str">
        <f>IF($A7="","",VLOOKUP($A7,従事者明細!$A$3:$I$52,2))</f>
        <v>本田　慶介
（大阪）</v>
      </c>
      <c r="C7" s="122" t="str">
        <f>IF($A7="","",VLOOKUP($A7,従事者明細!$A$3:$I$52,3))</f>
        <v>開発課題1/農村調査</v>
      </c>
      <c r="D7" s="122" t="str">
        <f>IF($A7="","",VLOOKUP($A7,従事者明細!$A$3:$I$52,5))</f>
        <v>㈱YXZホールティングス</v>
      </c>
      <c r="E7" s="137" t="str">
        <f>IF($A7="","",VLOOKUP($A7,従事者明細!$A$3:$I$52,4))</f>
        <v>Z</v>
      </c>
      <c r="F7" s="138">
        <f>IF($A7="","",VLOOKUP($A7,従事者明細!$A$3:$I$52,6))</f>
        <v>3</v>
      </c>
      <c r="G7" s="143">
        <f>IF($A7="","",VLOOKUP($A7,従事者明細!$A$3:$I$52,7))</f>
        <v>26155</v>
      </c>
      <c r="H7" s="139" t="str">
        <f>IF($A7="","",VLOOKUP($A7,従事者明細!$A$3:$I$52,8))</f>
        <v>　○○工業高校卒</v>
      </c>
      <c r="I7" s="391" t="str">
        <f>IF($A7="","",VLOOKUP($A7,従事者明細!$A$3:$I$52,9))</f>
        <v>200*年3月</v>
      </c>
    </row>
    <row r="8" spans="1:17" ht="30" customHeight="1">
      <c r="A8" s="425">
        <v>7</v>
      </c>
      <c r="B8" s="309" t="str">
        <f>IF($A8="","",VLOOKUP($A8,従事者明細!$A$3:$I$52,2))</f>
        <v>高橋　雅子
（神奈川）</v>
      </c>
      <c r="C8" s="122" t="str">
        <f>IF($A8="","",VLOOKUP($A8,従事者明細!$A$3:$I$52,3))</f>
        <v>事業化調査/操作指導</v>
      </c>
      <c r="D8" s="122" t="str">
        <f>IF($A8="","",VLOOKUP($A8,従事者明細!$A$3:$I$52,5))</f>
        <v>㈱YXZホールティングス（補強：SSS大学）</v>
      </c>
      <c r="E8" s="137" t="str">
        <f>IF($A8="","",VLOOKUP($A8,従事者明細!$A$3:$I$52,4))</f>
        <v>Z</v>
      </c>
      <c r="F8" s="138">
        <f>IF($A8="","",VLOOKUP($A8,従事者明細!$A$3:$I$52,6))</f>
        <v>4</v>
      </c>
      <c r="G8" s="143">
        <f>IF($A8="","",VLOOKUP($A8,従事者明細!$A$3:$I$52,7))</f>
        <v>33209</v>
      </c>
      <c r="H8" s="139" t="str">
        <f>IF($A8="","",VLOOKUP($A8,従事者明細!$A$3:$I$52,8))</f>
        <v xml:space="preserve"> ○○○○○大学卒</v>
      </c>
      <c r="I8" s="391" t="str">
        <f>IF($A8="","",VLOOKUP($A8,従事者明細!$A$3:$I$52,9))</f>
        <v>20**年3月</v>
      </c>
    </row>
    <row r="9" spans="1:17" ht="30" customHeight="1">
      <c r="A9" s="425">
        <v>3</v>
      </c>
      <c r="B9" s="309" t="str">
        <f>IF($A9="","",VLOOKUP($A9,従事者明細!$A$3:$I$52,2))</f>
        <v>阿部　一朗
（東京）</v>
      </c>
      <c r="C9" s="122" t="str">
        <f>IF($A9="","",VLOOKUP($A9,従事者明細!$A$3:$I$52,3))</f>
        <v>チーフアドバイザー/開発課題2/市場調査</v>
      </c>
      <c r="D9" s="122" t="str">
        <f>IF($A9="","",VLOOKUP($A9,従事者明細!$A$3:$I$52,5))</f>
        <v>㈱FIFAコンサルタント</v>
      </c>
      <c r="E9" s="137" t="str">
        <f>IF($A9="","",VLOOKUP($A9,従事者明細!$A$3:$I$52,4))</f>
        <v>A-1</v>
      </c>
      <c r="F9" s="138">
        <f>IF($A9="","",VLOOKUP($A9,従事者明細!$A$3:$I$52,6))</f>
        <v>2</v>
      </c>
      <c r="G9" s="143">
        <f>IF($A9="","",VLOOKUP($A9,従事者明細!$A$3:$I$52,7))</f>
        <v>24422</v>
      </c>
      <c r="H9" s="139" t="str">
        <f>IF($A9="","",VLOOKUP($A9,従事者明細!$A$3:$I$52,8))</f>
        <v xml:space="preserve"> ○○○○○大学卒</v>
      </c>
      <c r="I9" s="391" t="str">
        <f>IF($A9="","",VLOOKUP($A9,従事者明細!$A$3:$I$52,9))</f>
        <v>19**年3月</v>
      </c>
    </row>
    <row r="10" spans="1:17" ht="30" customHeight="1">
      <c r="A10" s="425">
        <v>4</v>
      </c>
      <c r="B10" s="309" t="str">
        <f>IF($A10="","",VLOOKUP($A10,従事者明細!$A$3:$I$52,2))</f>
        <v>半沢　直樹
（東京）</v>
      </c>
      <c r="C10" s="122" t="str">
        <f>IF($A10="","",VLOOKUP($A10,従事者明細!$A$3:$I$52,3))</f>
        <v>パートナー連携</v>
      </c>
      <c r="D10" s="122" t="str">
        <f>IF($A10="","",VLOOKUP($A10,従事者明細!$A$3:$I$52,5))</f>
        <v>㈱FIFAコンサルタント</v>
      </c>
      <c r="E10" s="137" t="str">
        <f>IF($A10="","",VLOOKUP($A10,従事者明細!$A$3:$I$52,4))</f>
        <v>A-1</v>
      </c>
      <c r="F10" s="138">
        <f>IF($A10="","",VLOOKUP($A10,従事者明細!$A$3:$I$52,6))</f>
        <v>4</v>
      </c>
      <c r="G10" s="143">
        <f>IF($A10="","",VLOOKUP($A10,従事者明細!$A$3:$I$52,7))</f>
        <v>24100</v>
      </c>
      <c r="H10" s="139" t="str">
        <f>IF($A10="","",VLOOKUP($A10,従事者明細!$A$3:$I$52,8))</f>
        <v xml:space="preserve"> ○○○○○大学卒</v>
      </c>
      <c r="I10" s="391" t="str">
        <f>IF($A10="","",VLOOKUP($A10,従事者明細!$A$3:$I$52,9))</f>
        <v>19**年3月</v>
      </c>
    </row>
    <row r="11" spans="1:17" ht="30" customHeight="1">
      <c r="A11" s="425">
        <v>5</v>
      </c>
      <c r="B11" s="309" t="str">
        <f>IF($A11="","",VLOOKUP($A11,従事者明細!$A$3:$I$52,2))</f>
        <v>鈴木　花子
（ハノイ）</v>
      </c>
      <c r="C11" s="122" t="str">
        <f>IF($A11="","",VLOOKUP($A11,従事者明細!$A$3:$I$52,3))</f>
        <v>環境社会配慮調査</v>
      </c>
      <c r="D11" s="122" t="str">
        <f>IF($A11="","",VLOOKUP($A11,従事者明細!$A$3:$I$52,5))</f>
        <v>DDDコンサル㈱</v>
      </c>
      <c r="E11" s="137" t="str">
        <f>IF($A11="","",VLOOKUP($A11,従事者明細!$A$3:$I$52,4))</f>
        <v>B-1</v>
      </c>
      <c r="F11" s="138">
        <f>IF($A11="","",VLOOKUP($A11,従事者明細!$A$3:$I$52,6))</f>
        <v>5</v>
      </c>
      <c r="G11" s="143">
        <f>IF($A11="","",VLOOKUP($A11,従事者明細!$A$3:$I$52,7))</f>
        <v>29423</v>
      </c>
      <c r="H11" s="139" t="str">
        <f>IF($A11="","",VLOOKUP($A11,従事者明細!$A$3:$I$52,8))</f>
        <v xml:space="preserve"> ○○○○○大学卒</v>
      </c>
      <c r="I11" s="391" t="str">
        <f>IF($A11="","",VLOOKUP($A11,従事者明細!$A$3:$I$52,9))</f>
        <v>200*年3月</v>
      </c>
    </row>
    <row r="12" spans="1:17" ht="30" customHeight="1">
      <c r="A12" s="425">
        <v>8</v>
      </c>
      <c r="B12" s="309" t="str">
        <f>IF($A12="","",VLOOKUP($A12,従事者明細!$A$3:$I$52,2))</f>
        <v>石田　次郎
（長野）</v>
      </c>
      <c r="C12" s="122" t="str">
        <f>IF($A12="","",VLOOKUP($A12,従事者明細!$A$3:$I$52,3))</f>
        <v>肥料設計/開発効果</v>
      </c>
      <c r="D12" s="122" t="str">
        <f>IF($A12="","",VLOOKUP($A12,従事者明細!$A$3:$I$52,5))</f>
        <v>GGG科学</v>
      </c>
      <c r="E12" s="137" t="str">
        <f>IF($A12="","",VLOOKUP($A12,従事者明細!$A$3:$I$52,4))</f>
        <v>B-2</v>
      </c>
      <c r="F12" s="138">
        <f>IF($A12="","",VLOOKUP($A12,従事者明細!$A$3:$I$52,6))</f>
        <v>5</v>
      </c>
      <c r="G12" s="143">
        <f>IF($A12="","",VLOOKUP($A12,従事者明細!$A$3:$I$52,7))</f>
        <v>36285</v>
      </c>
      <c r="H12" s="139" t="str">
        <f>IF($A12="","",VLOOKUP($A12,従事者明細!$A$3:$I$52,8))</f>
        <v xml:space="preserve"> ○○○○○大学卒</v>
      </c>
      <c r="I12" s="391" t="str">
        <f>IF($A12="","",VLOOKUP($A12,従事者明細!$A$3:$I$52,9))</f>
        <v>20**年3月</v>
      </c>
    </row>
    <row r="13" spans="1:17" ht="30" customHeight="1">
      <c r="A13" s="425">
        <v>6</v>
      </c>
      <c r="B13" s="309" t="str">
        <f>IF($A13="","",VLOOKUP($A13,従事者明細!$A$3:$I$52,2))</f>
        <v>国際　太郎
（埼玉）</v>
      </c>
      <c r="C13" s="122" t="str">
        <f>IF($A13="","",VLOOKUP($A13,従事者明細!$A$3:$I$52,3))</f>
        <v>法制度調査</v>
      </c>
      <c r="D13" s="122" t="str">
        <f>IF($A13="","",VLOOKUP($A13,従事者明細!$A$3:$I$52,5))</f>
        <v>個人</v>
      </c>
      <c r="E13" s="137" t="str">
        <f>IF($A13="","",VLOOKUP($A13,従事者明細!$A$3:$I$52,4))</f>
        <v>C-1</v>
      </c>
      <c r="F13" s="138">
        <f>IF($A13="","",VLOOKUP($A13,従事者明細!$A$3:$I$52,6))</f>
        <v>3</v>
      </c>
      <c r="G13" s="143">
        <f>IF($A13="","",VLOOKUP($A13,従事者明細!$A$3:$I$52,7))</f>
        <v>25729</v>
      </c>
      <c r="H13" s="139" t="str">
        <f>IF($A13="","",VLOOKUP($A13,従事者明細!$A$3:$I$52,8))</f>
        <v xml:space="preserve"> ○○○○○大学卒</v>
      </c>
      <c r="I13" s="391" t="str">
        <f>IF($A13="","",VLOOKUP($A13,従事者明細!$A$3:$I$52,9))</f>
        <v>19**年3月</v>
      </c>
    </row>
    <row r="14" spans="1:17" ht="30" customHeight="1">
      <c r="A14" s="425">
        <v>9</v>
      </c>
      <c r="B14" s="309" t="str">
        <f>IF($A14="","",VLOOKUP($A14,従事者明細!$A$3:$I$52,2))</f>
        <v>佐藤　次郎
（京都）</v>
      </c>
      <c r="C14" s="122" t="str">
        <f>IF($A14="","",VLOOKUP($A14,従事者明細!$A$3:$I$52,3))</f>
        <v>システム設計</v>
      </c>
      <c r="D14" s="122" t="str">
        <f>IF($A14="","",VLOOKUP($A14,従事者明細!$A$3:$I$52,5))</f>
        <v>○○大学</v>
      </c>
      <c r="E14" s="137" t="str">
        <f>IF($A14="","",VLOOKUP($A14,従事者明細!$A$3:$I$52,4))</f>
        <v>C-2</v>
      </c>
      <c r="F14" s="138">
        <f>IF($A14="","",VLOOKUP($A14,従事者明細!$A$3:$I$52,6))</f>
        <v>4</v>
      </c>
      <c r="G14" s="143">
        <f>IF($A14="","",VLOOKUP($A14,従事者明細!$A$3:$I$52,7))</f>
        <v>24149</v>
      </c>
      <c r="H14" s="139" t="str">
        <f>IF($A14="","",VLOOKUP($A14,従事者明細!$A$3:$I$52,8))</f>
        <v xml:space="preserve"> ○○○○○大学卒</v>
      </c>
      <c r="I14" s="391" t="str">
        <f>IF($A14="","",VLOOKUP($A14,従事者明細!$A$3:$I$52,9))</f>
        <v>19**年3月</v>
      </c>
    </row>
    <row r="15" spans="1:17" ht="30" customHeight="1">
      <c r="A15" s="425">
        <v>10</v>
      </c>
      <c r="B15" s="309" t="str">
        <f>IF($A15="","",VLOOKUP($A15,従事者明細!$A$3:$I$52,2))</f>
        <v>星　輝
（千葉）</v>
      </c>
      <c r="C15" s="122" t="str">
        <f>IF($A15="","",VLOOKUP($A15,従事者明細!$A$3:$I$52,3))</f>
        <v>海外市場調査</v>
      </c>
      <c r="D15" s="122" t="str">
        <f>IF($A15="","",VLOOKUP($A15,従事者明細!$A$3:$I$52,5))</f>
        <v>㈱FIFAコンサルタント</v>
      </c>
      <c r="E15" s="137" t="str">
        <f>IF($A15="","",VLOOKUP($A15,従事者明細!$A$3:$I$52,4))</f>
        <v>A-1</v>
      </c>
      <c r="F15" s="138">
        <f>IF($A15="","",VLOOKUP($A15,従事者明細!$A$3:$I$52,6))</f>
        <v>6</v>
      </c>
      <c r="G15" s="143">
        <f>IF($A15="","",VLOOKUP($A15,従事者明細!$A$3:$I$52,7))</f>
        <v>33200</v>
      </c>
      <c r="H15" s="139" t="str">
        <f>IF($A15="","",VLOOKUP($A15,従事者明細!$A$3:$I$52,8))</f>
        <v xml:space="preserve"> ○○○○○大学卒</v>
      </c>
      <c r="I15" s="391" t="str">
        <f>IF($A15="","",VLOOKUP($A15,従事者明細!$A$3:$I$52,9))</f>
        <v>20**年3月</v>
      </c>
    </row>
    <row r="16" spans="1:17" ht="30" hidden="1" customHeight="1">
      <c r="A16" s="424"/>
      <c r="B16" s="385" t="str">
        <f>IF($A16="","",VLOOKUP($A16,従事者明細!$A$3:$I$52,2))</f>
        <v/>
      </c>
      <c r="C16" s="386" t="str">
        <f>IF($A16="","",VLOOKUP($A16,従事者明細!$A$3:$I$52,3))</f>
        <v/>
      </c>
      <c r="D16" s="431" t="str">
        <f>IF($A16="","",VLOOKUP($A16,従事者明細!$A$3:$I$52,5))</f>
        <v/>
      </c>
      <c r="E16" s="387" t="str">
        <f>IF($A16="","",VLOOKUP($A16,従事者明細!$A$3:$I$52,5))</f>
        <v/>
      </c>
      <c r="F16" s="388" t="str">
        <f>IF($A16="","",VLOOKUP($A16,従事者明細!$A$3:$I$52,6))</f>
        <v/>
      </c>
      <c r="G16" s="389" t="str">
        <f>IF($A16="","",VLOOKUP($A16,従事者明細!$A$3:$I$52,7))</f>
        <v/>
      </c>
      <c r="H16" s="390" t="str">
        <f>IF($A16="","",VLOOKUP($A16,従事者明細!$A$3:$I$52,8))</f>
        <v/>
      </c>
      <c r="I16" s="433" t="str">
        <f>IF($A16="","",VLOOKUP($A16,従事者明細!$A$3:$I$52,9))</f>
        <v/>
      </c>
    </row>
    <row r="17" spans="1:10" ht="30" hidden="1" customHeight="1">
      <c r="A17" s="425"/>
      <c r="B17" s="309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391" t="str">
        <f>IF($A17="","",VLOOKUP($A17,従事者明細!$A$3:$I$52,9))</f>
        <v/>
      </c>
    </row>
    <row r="18" spans="1:10" ht="30" hidden="1" customHeight="1">
      <c r="A18" s="425"/>
      <c r="B18" s="309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391" t="str">
        <f>IF($A18="","",VLOOKUP($A18,従事者明細!$A$3:$I$52,9))</f>
        <v/>
      </c>
    </row>
    <row r="19" spans="1:10" ht="30" hidden="1" customHeight="1">
      <c r="A19" s="425"/>
      <c r="B19" s="309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391" t="str">
        <f>IF($A19="","",VLOOKUP($A19,従事者明細!$A$3:$I$52,9))</f>
        <v/>
      </c>
    </row>
    <row r="20" spans="1:10" ht="30" hidden="1" customHeight="1">
      <c r="A20" s="425"/>
      <c r="B20" s="309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391" t="str">
        <f>IF($A20="","",VLOOKUP($A20,従事者明細!$A$3:$I$52,9))</f>
        <v/>
      </c>
    </row>
    <row r="21" spans="1:10" ht="30" hidden="1" customHeight="1">
      <c r="A21" s="425"/>
      <c r="B21" s="309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391" t="str">
        <f>IF($A21="","",VLOOKUP($A21,従事者明細!$A$3:$I$52,9))</f>
        <v/>
      </c>
    </row>
    <row r="22" spans="1:10" ht="30" hidden="1" customHeight="1">
      <c r="A22" s="425"/>
      <c r="B22" s="309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391" t="str">
        <f>IF($A22="","",VLOOKUP($A22,従事者明細!$A$3:$I$52,9))</f>
        <v/>
      </c>
    </row>
    <row r="23" spans="1:10" ht="30" hidden="1" customHeight="1">
      <c r="A23" s="425"/>
      <c r="B23" s="309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391" t="str">
        <f>IF($A23="","",VLOOKUP($A23,従事者明細!$A$3:$I$52,9))</f>
        <v/>
      </c>
    </row>
    <row r="24" spans="1:10" ht="30" hidden="1" customHeight="1">
      <c r="A24" s="425"/>
      <c r="B24" s="309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391" t="str">
        <f>IF($A24="","",VLOOKUP($A24,従事者明細!$A$3:$I$52,9))</f>
        <v/>
      </c>
    </row>
    <row r="25" spans="1:10" ht="30" customHeight="1" thickBot="1">
      <c r="A25" s="426"/>
      <c r="B25" s="392" t="str">
        <f>IF($A25="","",VLOOKUP($A25,従事者明細!$A$3:$I$52,2))</f>
        <v/>
      </c>
      <c r="C25" s="393" t="str">
        <f>IF($A25="","",VLOOKUP($A25,従事者明細!$A$3:$I$52,3))</f>
        <v/>
      </c>
      <c r="D25" s="393" t="str">
        <f>IF($A25="","",VLOOKUP($A25,従事者明細!$A$3:$I$52,5))</f>
        <v/>
      </c>
      <c r="E25" s="432" t="str">
        <f>IF($A25="","",VLOOKUP($A25,従事者明細!$A$3:$I$52,5))</f>
        <v/>
      </c>
      <c r="F25" s="394" t="str">
        <f>IF($A25="","",VLOOKUP($A25,従事者明細!$A$3:$I$52,6))</f>
        <v/>
      </c>
      <c r="G25" s="395" t="str">
        <f>IF($A25="","",VLOOKUP($A25,従事者明細!$A$3:$I$52,7))</f>
        <v/>
      </c>
      <c r="H25" s="396" t="str">
        <f>IF($A25="","",VLOOKUP($A25,従事者明細!$A$3:$I$52,8))</f>
        <v/>
      </c>
      <c r="I25" s="397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72"/>
      <c r="C28" s="472"/>
      <c r="D28" s="472"/>
      <c r="E28" s="472"/>
      <c r="F28" s="472"/>
      <c r="G28" s="472"/>
      <c r="H28" s="472"/>
      <c r="I28" s="472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4" sqref="L24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5" t="s">
        <v>245</v>
      </c>
    </row>
    <row r="2" spans="1:8" ht="21.75" customHeight="1">
      <c r="A2" s="591" t="s">
        <v>137</v>
      </c>
      <c r="B2" s="591"/>
      <c r="C2" s="591"/>
      <c r="D2" s="591"/>
      <c r="E2" s="591"/>
      <c r="F2" s="591"/>
      <c r="G2" s="591"/>
      <c r="H2" s="591"/>
    </row>
    <row r="3" spans="1:8" ht="21.75" customHeight="1">
      <c r="A3" s="591"/>
      <c r="B3" s="591"/>
      <c r="C3" s="591"/>
      <c r="D3" s="591"/>
      <c r="E3" s="591"/>
      <c r="F3" s="591"/>
      <c r="G3" s="591"/>
      <c r="H3" s="591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92" t="s">
        <v>94</v>
      </c>
      <c r="B5" s="592"/>
      <c r="C5" s="595" t="str">
        <f>様式1!E7</f>
        <v>○○○国○○○○○○○○○事業</v>
      </c>
      <c r="D5" s="595"/>
      <c r="E5" s="595"/>
      <c r="F5" s="595"/>
      <c r="G5" s="145"/>
    </row>
    <row r="6" spans="1:8" ht="21.75" customHeight="1">
      <c r="A6" s="592" t="s">
        <v>95</v>
      </c>
      <c r="B6" s="592"/>
      <c r="C6" s="596" t="str">
        <f>様式1!E8</f>
        <v>（提案法人名）</v>
      </c>
      <c r="D6" s="596"/>
      <c r="E6" s="596"/>
      <c r="F6" s="596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32"/>
      <c r="B8" s="593"/>
      <c r="C8" s="593"/>
      <c r="D8" s="593"/>
      <c r="E8" s="149" t="s">
        <v>138</v>
      </c>
      <c r="F8" s="149" t="s">
        <v>200</v>
      </c>
      <c r="G8" s="149" t="s">
        <v>369</v>
      </c>
      <c r="H8" s="150" t="s">
        <v>30</v>
      </c>
    </row>
    <row r="9" spans="1:8" ht="21.75" customHeight="1">
      <c r="A9" s="346" t="s">
        <v>97</v>
      </c>
      <c r="B9" s="587" t="s">
        <v>68</v>
      </c>
      <c r="C9" s="587"/>
      <c r="D9" s="587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88" t="s">
        <v>7</v>
      </c>
      <c r="D10" s="588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88" t="s">
        <v>64</v>
      </c>
      <c r="D11" s="588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89" t="s">
        <v>9</v>
      </c>
      <c r="D12" s="589"/>
      <c r="E12" s="156"/>
      <c r="F12" s="156"/>
      <c r="G12" s="156"/>
      <c r="H12" s="151">
        <f t="shared" si="1"/>
        <v>0</v>
      </c>
    </row>
    <row r="13" spans="1:8" ht="21.75" customHeight="1">
      <c r="A13" s="348" t="s">
        <v>101</v>
      </c>
      <c r="B13" s="587" t="s">
        <v>3</v>
      </c>
      <c r="C13" s="587"/>
      <c r="D13" s="594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90" t="s">
        <v>99</v>
      </c>
      <c r="D14" s="590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4" t="s">
        <v>110</v>
      </c>
      <c r="D15" s="155"/>
      <c r="E15" s="352"/>
      <c r="F15" s="353"/>
      <c r="G15" s="353"/>
      <c r="H15" s="354"/>
    </row>
    <row r="16" spans="1:8" ht="21.75" customHeight="1">
      <c r="A16" s="152"/>
      <c r="B16" s="153" t="s">
        <v>4</v>
      </c>
      <c r="C16" s="372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4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382</v>
      </c>
      <c r="C18" s="589" t="s">
        <v>155</v>
      </c>
      <c r="D18" s="589"/>
      <c r="E18" s="154"/>
      <c r="F18" s="154"/>
      <c r="G18" s="154"/>
      <c r="H18" s="151">
        <f t="shared" si="1"/>
        <v>0</v>
      </c>
    </row>
    <row r="19" spans="1:8" ht="21.75" customHeight="1">
      <c r="A19" s="346" t="s">
        <v>103</v>
      </c>
      <c r="B19" s="347" t="s">
        <v>102</v>
      </c>
      <c r="C19" s="344"/>
      <c r="D19" s="344"/>
      <c r="E19" s="229"/>
      <c r="F19" s="229"/>
      <c r="G19" s="229"/>
      <c r="H19" s="151">
        <f t="shared" si="1"/>
        <v>0</v>
      </c>
    </row>
    <row r="20" spans="1:8" ht="21.75" customHeight="1">
      <c r="A20" s="348" t="s">
        <v>105</v>
      </c>
      <c r="B20" s="583" t="s">
        <v>27</v>
      </c>
      <c r="C20" s="583"/>
      <c r="D20" s="583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8" t="s">
        <v>106</v>
      </c>
      <c r="B21" s="349" t="s">
        <v>107</v>
      </c>
      <c r="C21" s="350"/>
      <c r="D21" s="350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1" t="s">
        <v>108</v>
      </c>
      <c r="B22" s="583" t="s">
        <v>109</v>
      </c>
      <c r="C22" s="583"/>
      <c r="D22" s="583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84"/>
      <c r="B23" s="584"/>
      <c r="C23" s="584"/>
      <c r="D23" s="585"/>
    </row>
    <row r="24" spans="1:8" ht="14.25" customHeight="1">
      <c r="A24" s="586"/>
      <c r="B24" s="586"/>
      <c r="C24" s="586"/>
      <c r="D24" s="586"/>
      <c r="E24" s="586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/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80" t="s">
        <v>76</v>
      </c>
      <c r="B1" s="244"/>
      <c r="C1" s="244"/>
      <c r="D1" s="398"/>
      <c r="E1" s="244"/>
      <c r="F1" s="281"/>
      <c r="G1" s="281"/>
      <c r="H1" s="281"/>
      <c r="I1" s="404"/>
      <c r="J1" s="281"/>
      <c r="K1" s="281"/>
      <c r="L1" s="281"/>
      <c r="M1" s="281"/>
      <c r="N1" s="281"/>
      <c r="O1" s="282"/>
      <c r="P1" s="281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224</v>
      </c>
      <c r="C2" s="244" t="s">
        <v>78</v>
      </c>
      <c r="D2" s="244" t="s">
        <v>225</v>
      </c>
      <c r="E2" s="244" t="s">
        <v>150</v>
      </c>
      <c r="F2" s="244" t="s">
        <v>80</v>
      </c>
      <c r="G2" s="244" t="s">
        <v>169</v>
      </c>
      <c r="H2" s="244" t="s">
        <v>226</v>
      </c>
      <c r="I2" s="405" t="s">
        <v>248</v>
      </c>
      <c r="J2" s="244" t="s">
        <v>140</v>
      </c>
      <c r="K2" s="244" t="s">
        <v>141</v>
      </c>
      <c r="L2" s="244" t="s">
        <v>142</v>
      </c>
      <c r="M2" s="170"/>
      <c r="N2" s="283" t="s">
        <v>143</v>
      </c>
      <c r="O2" s="284" t="s">
        <v>144</v>
      </c>
      <c r="P2" s="175" t="s">
        <v>141</v>
      </c>
      <c r="Q2" s="175" t="s">
        <v>142</v>
      </c>
      <c r="R2" s="172"/>
      <c r="S2" s="172"/>
      <c r="T2" s="172"/>
      <c r="U2" s="369" t="s">
        <v>79</v>
      </c>
      <c r="V2" s="121" t="s">
        <v>85</v>
      </c>
    </row>
    <row r="3" spans="1:22" ht="28.5">
      <c r="A3" s="172">
        <v>1</v>
      </c>
      <c r="B3" s="370" t="s">
        <v>299</v>
      </c>
      <c r="C3" s="254" t="s">
        <v>300</v>
      </c>
      <c r="D3" s="327" t="s">
        <v>262</v>
      </c>
      <c r="E3" s="254" t="s">
        <v>315</v>
      </c>
      <c r="F3" s="327">
        <v>2</v>
      </c>
      <c r="G3" s="255">
        <v>20372</v>
      </c>
      <c r="H3" s="256" t="s">
        <v>321</v>
      </c>
      <c r="I3" s="406" t="s">
        <v>322</v>
      </c>
      <c r="J3" s="179" t="str">
        <f>IF($F3="","",IF(D3="Z","",VLOOKUP($F3,$N$3:$Q$12,2)))</f>
        <v/>
      </c>
      <c r="K3" s="179">
        <f>IF($F3="","",VLOOKUP($F3,$N$3:$Q$12,3))</f>
        <v>3800</v>
      </c>
      <c r="L3" s="179">
        <f>IF($F3="","",VLOOKUP($F3,$N$3:$Q$12,4))</f>
        <v>11600</v>
      </c>
      <c r="M3" s="172"/>
      <c r="N3" s="283"/>
      <c r="O3" s="284"/>
      <c r="P3" s="175"/>
      <c r="Q3" s="175"/>
      <c r="R3" s="172"/>
      <c r="S3" s="172"/>
      <c r="T3" s="172"/>
      <c r="U3" s="403" t="s">
        <v>281</v>
      </c>
      <c r="V3" s="121" t="s">
        <v>86</v>
      </c>
    </row>
    <row r="4" spans="1:22" ht="28.5">
      <c r="A4" s="172">
        <v>2</v>
      </c>
      <c r="B4" s="370" t="s">
        <v>301</v>
      </c>
      <c r="C4" s="254" t="s">
        <v>302</v>
      </c>
      <c r="D4" s="327" t="s">
        <v>262</v>
      </c>
      <c r="E4" s="254" t="s">
        <v>315</v>
      </c>
      <c r="F4" s="327">
        <v>3</v>
      </c>
      <c r="G4" s="255">
        <v>26155</v>
      </c>
      <c r="H4" s="256" t="s">
        <v>323</v>
      </c>
      <c r="I4" s="407" t="s">
        <v>324</v>
      </c>
      <c r="J4" s="179" t="str">
        <f t="shared" ref="J4:J33" si="0">IF($F4="","",IF(D4="Z","",VLOOKUP($F4,$N$3:$Q$12,2)))</f>
        <v/>
      </c>
      <c r="K4" s="179">
        <f t="shared" ref="K4:K33" si="1">IF($F4="","",VLOOKUP($F4,$N$3:$Q$12,3))</f>
        <v>3800</v>
      </c>
      <c r="L4" s="179">
        <f t="shared" ref="L4:L33" si="2">IF($F4="","",VLOOKUP($F4,$N$3:$Q$12,4))</f>
        <v>11600</v>
      </c>
      <c r="M4" s="172"/>
      <c r="N4" s="283"/>
      <c r="O4" s="284"/>
      <c r="P4" s="175"/>
      <c r="Q4" s="175"/>
      <c r="R4" s="172"/>
      <c r="S4" s="172"/>
      <c r="T4" s="172"/>
      <c r="U4" s="403" t="s">
        <v>265</v>
      </c>
      <c r="V4" s="121" t="s">
        <v>84</v>
      </c>
    </row>
    <row r="5" spans="1:22" ht="28.5">
      <c r="A5" s="172">
        <v>3</v>
      </c>
      <c r="B5" s="370" t="s">
        <v>303</v>
      </c>
      <c r="C5" s="277" t="s">
        <v>304</v>
      </c>
      <c r="D5" s="327" t="s">
        <v>282</v>
      </c>
      <c r="E5" s="254" t="s">
        <v>316</v>
      </c>
      <c r="F5" s="327">
        <v>2</v>
      </c>
      <c r="G5" s="255">
        <v>24422</v>
      </c>
      <c r="H5" s="256" t="s">
        <v>325</v>
      </c>
      <c r="I5" s="406" t="s">
        <v>326</v>
      </c>
      <c r="J5" s="179">
        <f t="shared" si="0"/>
        <v>998000</v>
      </c>
      <c r="K5" s="179">
        <f t="shared" si="1"/>
        <v>3800</v>
      </c>
      <c r="L5" s="179">
        <f t="shared" si="2"/>
        <v>11600</v>
      </c>
      <c r="M5" s="172"/>
      <c r="N5" s="283"/>
      <c r="O5" s="284"/>
      <c r="P5" s="175"/>
      <c r="Q5" s="175"/>
      <c r="R5" s="172"/>
      <c r="S5" s="172"/>
      <c r="T5" s="172"/>
      <c r="U5" s="403" t="s">
        <v>266</v>
      </c>
    </row>
    <row r="6" spans="1:22" ht="28.5">
      <c r="A6" s="172">
        <v>4</v>
      </c>
      <c r="B6" s="370" t="s">
        <v>305</v>
      </c>
      <c r="C6" s="254" t="s">
        <v>306</v>
      </c>
      <c r="D6" s="327" t="s">
        <v>282</v>
      </c>
      <c r="E6" s="254" t="s">
        <v>316</v>
      </c>
      <c r="F6" s="327">
        <v>4</v>
      </c>
      <c r="G6" s="255">
        <v>24100</v>
      </c>
      <c r="H6" s="256" t="s">
        <v>325</v>
      </c>
      <c r="I6" s="407" t="s">
        <v>326</v>
      </c>
      <c r="J6" s="179">
        <f t="shared" si="0"/>
        <v>732000</v>
      </c>
      <c r="K6" s="179">
        <f t="shared" si="1"/>
        <v>3800</v>
      </c>
      <c r="L6" s="179">
        <f t="shared" si="2"/>
        <v>11600</v>
      </c>
      <c r="M6" s="172"/>
      <c r="N6" s="286"/>
      <c r="O6" s="284"/>
      <c r="P6" s="175"/>
      <c r="Q6" s="175"/>
      <c r="R6" s="172"/>
      <c r="S6" s="172"/>
      <c r="T6" s="172"/>
      <c r="U6" s="403" t="s">
        <v>267</v>
      </c>
    </row>
    <row r="7" spans="1:22" ht="28.5">
      <c r="A7" s="172">
        <v>5</v>
      </c>
      <c r="B7" s="370" t="s">
        <v>307</v>
      </c>
      <c r="C7" s="254" t="s">
        <v>308</v>
      </c>
      <c r="D7" s="327" t="s">
        <v>283</v>
      </c>
      <c r="E7" s="277" t="s">
        <v>317</v>
      </c>
      <c r="F7" s="327">
        <v>5</v>
      </c>
      <c r="G7" s="255">
        <v>29423</v>
      </c>
      <c r="H7" s="256" t="s">
        <v>325</v>
      </c>
      <c r="I7" s="406" t="s">
        <v>327</v>
      </c>
      <c r="J7" s="179">
        <f t="shared" si="0"/>
        <v>598000</v>
      </c>
      <c r="K7" s="179">
        <f t="shared" si="1"/>
        <v>3800</v>
      </c>
      <c r="L7" s="179">
        <f t="shared" si="2"/>
        <v>11600</v>
      </c>
      <c r="M7" s="172"/>
      <c r="N7" s="286">
        <v>2</v>
      </c>
      <c r="O7" s="284">
        <v>998000</v>
      </c>
      <c r="P7" s="175">
        <v>3800</v>
      </c>
      <c r="Q7" s="175">
        <v>11600</v>
      </c>
      <c r="R7" s="172"/>
      <c r="S7" s="172"/>
      <c r="T7" s="172"/>
      <c r="U7" s="403" t="s">
        <v>268</v>
      </c>
    </row>
    <row r="8" spans="1:22" ht="28.5">
      <c r="A8" s="172">
        <v>6</v>
      </c>
      <c r="B8" s="370" t="s">
        <v>309</v>
      </c>
      <c r="C8" s="254" t="s">
        <v>310</v>
      </c>
      <c r="D8" s="327" t="s">
        <v>286</v>
      </c>
      <c r="E8" s="277" t="s">
        <v>318</v>
      </c>
      <c r="F8" s="327">
        <v>3</v>
      </c>
      <c r="G8" s="255">
        <v>25729</v>
      </c>
      <c r="H8" s="256" t="s">
        <v>325</v>
      </c>
      <c r="I8" s="406" t="s">
        <v>326</v>
      </c>
      <c r="J8" s="179">
        <f t="shared" si="0"/>
        <v>870000</v>
      </c>
      <c r="K8" s="179">
        <f t="shared" si="1"/>
        <v>3800</v>
      </c>
      <c r="L8" s="179">
        <f t="shared" si="2"/>
        <v>11600</v>
      </c>
      <c r="M8" s="172"/>
      <c r="N8" s="286">
        <v>3</v>
      </c>
      <c r="O8" s="284">
        <v>870000</v>
      </c>
      <c r="P8" s="175">
        <v>3800</v>
      </c>
      <c r="Q8" s="175">
        <v>11600</v>
      </c>
      <c r="R8" s="172"/>
      <c r="S8" s="172"/>
      <c r="T8" s="172"/>
      <c r="U8" s="403" t="s">
        <v>269</v>
      </c>
    </row>
    <row r="9" spans="1:22" ht="26.25" customHeight="1">
      <c r="A9" s="172">
        <v>7</v>
      </c>
      <c r="B9" s="370" t="s">
        <v>311</v>
      </c>
      <c r="C9" s="277" t="s">
        <v>312</v>
      </c>
      <c r="D9" s="327" t="s">
        <v>262</v>
      </c>
      <c r="E9" s="277" t="s">
        <v>319</v>
      </c>
      <c r="F9" s="327">
        <v>4</v>
      </c>
      <c r="G9" s="255">
        <v>33209</v>
      </c>
      <c r="H9" s="256" t="s">
        <v>325</v>
      </c>
      <c r="I9" s="406" t="s">
        <v>328</v>
      </c>
      <c r="J9" s="179" t="str">
        <f t="shared" si="0"/>
        <v/>
      </c>
      <c r="K9" s="179">
        <f t="shared" si="1"/>
        <v>3800</v>
      </c>
      <c r="L9" s="179">
        <f t="shared" si="2"/>
        <v>11600</v>
      </c>
      <c r="M9" s="172"/>
      <c r="N9" s="286">
        <v>4</v>
      </c>
      <c r="O9" s="284">
        <v>732000</v>
      </c>
      <c r="P9" s="175">
        <v>3800</v>
      </c>
      <c r="Q9" s="175">
        <v>11600</v>
      </c>
      <c r="R9" s="172"/>
      <c r="S9" s="172"/>
      <c r="T9" s="172"/>
      <c r="U9" s="403" t="s">
        <v>270</v>
      </c>
    </row>
    <row r="10" spans="1:22" ht="28.5">
      <c r="A10" s="172">
        <v>8</v>
      </c>
      <c r="B10" s="370" t="s">
        <v>313</v>
      </c>
      <c r="C10" s="254" t="s">
        <v>314</v>
      </c>
      <c r="D10" s="327" t="s">
        <v>284</v>
      </c>
      <c r="E10" s="277" t="s">
        <v>320</v>
      </c>
      <c r="F10" s="327">
        <v>5</v>
      </c>
      <c r="G10" s="255">
        <v>36285</v>
      </c>
      <c r="H10" s="256" t="s">
        <v>325</v>
      </c>
      <c r="I10" s="407" t="s">
        <v>328</v>
      </c>
      <c r="J10" s="179">
        <f t="shared" si="0"/>
        <v>598000</v>
      </c>
      <c r="K10" s="179">
        <f t="shared" si="1"/>
        <v>3800</v>
      </c>
      <c r="L10" s="179">
        <f t="shared" si="2"/>
        <v>11600</v>
      </c>
      <c r="M10" s="172"/>
      <c r="N10" s="286">
        <v>5</v>
      </c>
      <c r="O10" s="284">
        <v>598000</v>
      </c>
      <c r="P10" s="175">
        <v>3800</v>
      </c>
      <c r="Q10" s="175">
        <v>11600</v>
      </c>
      <c r="R10" s="172"/>
      <c r="S10" s="172"/>
      <c r="T10" s="172"/>
      <c r="U10" s="403" t="s">
        <v>271</v>
      </c>
    </row>
    <row r="11" spans="1:22" ht="28.5">
      <c r="A11" s="172">
        <v>9</v>
      </c>
      <c r="B11" s="427" t="s">
        <v>363</v>
      </c>
      <c r="C11" s="254" t="s">
        <v>364</v>
      </c>
      <c r="D11" s="327" t="s">
        <v>365</v>
      </c>
      <c r="E11" s="277" t="s">
        <v>366</v>
      </c>
      <c r="F11" s="327">
        <v>4</v>
      </c>
      <c r="G11" s="255">
        <v>24149</v>
      </c>
      <c r="H11" s="256" t="s">
        <v>325</v>
      </c>
      <c r="I11" s="406" t="s">
        <v>326</v>
      </c>
      <c r="J11" s="179">
        <f t="shared" si="0"/>
        <v>732000</v>
      </c>
      <c r="K11" s="179">
        <f t="shared" si="1"/>
        <v>3800</v>
      </c>
      <c r="L11" s="179">
        <f t="shared" si="2"/>
        <v>11600</v>
      </c>
      <c r="M11" s="172"/>
      <c r="N11" s="286">
        <v>6</v>
      </c>
      <c r="O11" s="284">
        <v>502000</v>
      </c>
      <c r="P11" s="175">
        <v>3800</v>
      </c>
      <c r="Q11" s="175">
        <v>11600</v>
      </c>
      <c r="R11" s="172"/>
      <c r="S11" s="172"/>
      <c r="T11" s="172"/>
      <c r="U11" s="403" t="s">
        <v>272</v>
      </c>
    </row>
    <row r="12" spans="1:22" ht="28.5">
      <c r="A12" s="172">
        <v>10</v>
      </c>
      <c r="B12" s="427" t="s">
        <v>368</v>
      </c>
      <c r="C12" s="254" t="s">
        <v>367</v>
      </c>
      <c r="D12" s="327" t="s">
        <v>282</v>
      </c>
      <c r="E12" s="254" t="s">
        <v>316</v>
      </c>
      <c r="F12" s="327">
        <v>6</v>
      </c>
      <c r="G12" s="255">
        <v>33200</v>
      </c>
      <c r="H12" s="256" t="s">
        <v>325</v>
      </c>
      <c r="I12" s="407" t="s">
        <v>328</v>
      </c>
      <c r="J12" s="179">
        <f t="shared" si="0"/>
        <v>502000</v>
      </c>
      <c r="K12" s="179">
        <f t="shared" si="1"/>
        <v>3800</v>
      </c>
      <c r="L12" s="179">
        <f t="shared" si="2"/>
        <v>11600</v>
      </c>
      <c r="M12" s="172"/>
      <c r="N12" s="172"/>
      <c r="O12" s="176"/>
      <c r="P12" s="172"/>
      <c r="Q12" s="172"/>
      <c r="R12" s="172"/>
      <c r="S12" s="172"/>
      <c r="T12" s="172"/>
      <c r="U12" s="403" t="s">
        <v>273</v>
      </c>
    </row>
    <row r="13" spans="1:22">
      <c r="A13" s="172">
        <v>11</v>
      </c>
      <c r="B13" s="285"/>
      <c r="C13" s="254"/>
      <c r="D13" s="327"/>
      <c r="E13" s="254"/>
      <c r="F13" s="327"/>
      <c r="G13" s="255"/>
      <c r="H13" s="256"/>
      <c r="I13" s="407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3" t="s">
        <v>274</v>
      </c>
    </row>
    <row r="14" spans="1:22">
      <c r="A14" s="172">
        <v>12</v>
      </c>
      <c r="B14" s="285"/>
      <c r="C14" s="254"/>
      <c r="D14" s="327"/>
      <c r="E14" s="254"/>
      <c r="F14" s="327"/>
      <c r="G14" s="255"/>
      <c r="H14" s="256"/>
      <c r="I14" s="407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3" t="s">
        <v>275</v>
      </c>
    </row>
    <row r="15" spans="1:22">
      <c r="A15" s="172">
        <v>13</v>
      </c>
      <c r="B15" s="285"/>
      <c r="C15" s="254"/>
      <c r="D15" s="327"/>
      <c r="E15" s="254"/>
      <c r="F15" s="327"/>
      <c r="G15" s="255"/>
      <c r="H15" s="256"/>
      <c r="I15" s="407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3" t="s">
        <v>276</v>
      </c>
    </row>
    <row r="16" spans="1:22">
      <c r="A16" s="172">
        <v>14</v>
      </c>
      <c r="B16" s="285"/>
      <c r="C16" s="374"/>
      <c r="D16" s="327"/>
      <c r="E16" s="254"/>
      <c r="F16" s="327"/>
      <c r="G16" s="255"/>
      <c r="H16" s="256"/>
      <c r="I16" s="407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3" t="s">
        <v>277</v>
      </c>
    </row>
    <row r="17" spans="1:21">
      <c r="A17" s="172">
        <v>15</v>
      </c>
      <c r="B17" s="285"/>
      <c r="C17" s="254"/>
      <c r="D17" s="327"/>
      <c r="E17" s="254"/>
      <c r="F17" s="327"/>
      <c r="G17" s="255"/>
      <c r="H17" s="256"/>
      <c r="I17" s="407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3" t="s">
        <v>278</v>
      </c>
    </row>
    <row r="18" spans="1:21">
      <c r="A18" s="172">
        <v>16</v>
      </c>
      <c r="B18" s="285"/>
      <c r="C18" s="254"/>
      <c r="D18" s="327"/>
      <c r="E18" s="254"/>
      <c r="F18" s="327"/>
      <c r="G18" s="255"/>
      <c r="H18" s="256"/>
      <c r="I18" s="407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3" t="s">
        <v>279</v>
      </c>
    </row>
    <row r="19" spans="1:21">
      <c r="A19" s="172">
        <v>17</v>
      </c>
      <c r="B19" s="285"/>
      <c r="C19" s="254"/>
      <c r="D19" s="327"/>
      <c r="E19" s="254"/>
      <c r="F19" s="327"/>
      <c r="G19" s="255"/>
      <c r="H19" s="256"/>
      <c r="I19" s="407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3" t="s">
        <v>280</v>
      </c>
    </row>
    <row r="20" spans="1:21">
      <c r="A20" s="172">
        <v>18</v>
      </c>
      <c r="B20" s="285"/>
      <c r="C20" s="254"/>
      <c r="D20" s="327"/>
      <c r="E20" s="254"/>
      <c r="F20" s="327"/>
      <c r="G20" s="255"/>
      <c r="H20" s="256"/>
      <c r="I20" s="407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3"/>
    </row>
    <row r="21" spans="1:21">
      <c r="A21" s="172">
        <v>19</v>
      </c>
      <c r="B21" s="285"/>
      <c r="C21" s="254"/>
      <c r="D21" s="327"/>
      <c r="E21" s="254"/>
      <c r="F21" s="327"/>
      <c r="G21" s="255"/>
      <c r="H21" s="256"/>
      <c r="I21" s="407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5"/>
      <c r="C22" s="254"/>
      <c r="D22" s="327"/>
      <c r="E22" s="254"/>
      <c r="F22" s="327"/>
      <c r="G22" s="255"/>
      <c r="H22" s="256"/>
      <c r="I22" s="407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5"/>
      <c r="C23" s="254"/>
      <c r="D23" s="327"/>
      <c r="E23" s="254"/>
      <c r="F23" s="327"/>
      <c r="G23" s="255"/>
      <c r="H23" s="256"/>
      <c r="I23" s="407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5"/>
      <c r="C24" s="254"/>
      <c r="D24" s="327"/>
      <c r="E24" s="254"/>
      <c r="F24" s="327"/>
      <c r="G24" s="255"/>
      <c r="H24" s="256"/>
      <c r="I24" s="407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5"/>
      <c r="C25" s="254"/>
      <c r="D25" s="327"/>
      <c r="E25" s="254"/>
      <c r="F25" s="327"/>
      <c r="G25" s="255"/>
      <c r="H25" s="256"/>
      <c r="I25" s="407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5"/>
      <c r="C26" s="254"/>
      <c r="D26" s="327"/>
      <c r="E26" s="254"/>
      <c r="F26" s="327"/>
      <c r="G26" s="255"/>
      <c r="H26" s="256"/>
      <c r="I26" s="407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5"/>
      <c r="C27" s="254"/>
      <c r="D27" s="327"/>
      <c r="E27" s="254"/>
      <c r="F27" s="327"/>
      <c r="G27" s="255"/>
      <c r="H27" s="256"/>
      <c r="I27" s="407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5"/>
      <c r="C28" s="254"/>
      <c r="D28" s="327"/>
      <c r="E28" s="254"/>
      <c r="F28" s="327"/>
      <c r="G28" s="255"/>
      <c r="H28" s="256"/>
      <c r="I28" s="407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5"/>
      <c r="C29" s="254"/>
      <c r="D29" s="327"/>
      <c r="E29" s="254"/>
      <c r="F29" s="327"/>
      <c r="G29" s="255"/>
      <c r="H29" s="256"/>
      <c r="I29" s="407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5"/>
      <c r="C30" s="254"/>
      <c r="D30" s="327"/>
      <c r="E30" s="254"/>
      <c r="F30" s="327"/>
      <c r="G30" s="255"/>
      <c r="H30" s="256"/>
      <c r="I30" s="407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5"/>
      <c r="C31" s="254"/>
      <c r="D31" s="327"/>
      <c r="E31" s="254"/>
      <c r="F31" s="327"/>
      <c r="G31" s="255"/>
      <c r="H31" s="256"/>
      <c r="I31" s="407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5"/>
      <c r="C32" s="254"/>
      <c r="D32" s="327"/>
      <c r="E32" s="254"/>
      <c r="F32" s="327"/>
      <c r="G32" s="255"/>
      <c r="H32" s="256"/>
      <c r="I32" s="407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5"/>
      <c r="C33" s="254"/>
      <c r="D33" s="327"/>
      <c r="E33" s="254"/>
      <c r="F33" s="327"/>
      <c r="G33" s="255"/>
      <c r="H33" s="256"/>
      <c r="I33" s="407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8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298</v>
      </c>
      <c r="C35" s="172"/>
      <c r="D35" s="172"/>
      <c r="E35" s="172"/>
      <c r="F35" s="172"/>
      <c r="G35" s="172"/>
      <c r="H35" s="172"/>
      <c r="I35" s="408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297</v>
      </c>
      <c r="C36" s="172"/>
      <c r="D36" s="172"/>
      <c r="E36" s="172"/>
      <c r="F36" s="172"/>
      <c r="G36" s="172"/>
      <c r="H36" s="172"/>
      <c r="I36" s="408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240</v>
      </c>
      <c r="C37" s="172"/>
      <c r="D37" s="172"/>
      <c r="E37" s="172"/>
      <c r="F37" s="172"/>
      <c r="G37" s="172"/>
      <c r="H37" s="172"/>
      <c r="I37" s="408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72" t="s">
        <v>133</v>
      </c>
      <c r="C38" s="472"/>
      <c r="D38" s="472"/>
      <c r="E38" s="472"/>
      <c r="F38" s="472"/>
      <c r="G38" s="472"/>
      <c r="H38" s="472"/>
      <c r="I38" s="472"/>
      <c r="J38" s="339"/>
      <c r="K38" s="339"/>
      <c r="L38" s="339"/>
      <c r="M38" s="339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9" t="s">
        <v>239</v>
      </c>
      <c r="C39" s="172"/>
      <c r="D39" s="172"/>
      <c r="E39" s="172"/>
      <c r="F39" s="172"/>
      <c r="G39" s="172"/>
      <c r="H39" s="172"/>
      <c r="I39" s="408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5" sqref="C15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7"/>
      <c r="B1" s="244"/>
      <c r="C1" s="244"/>
      <c r="D1" s="244"/>
      <c r="E1" s="244"/>
      <c r="F1" s="244"/>
      <c r="G1" s="244"/>
      <c r="H1" s="367"/>
      <c r="I1" s="244"/>
    </row>
    <row r="2" spans="1:9" s="165" customFormat="1" ht="13.5">
      <c r="A2" s="360"/>
      <c r="B2" s="360"/>
      <c r="C2" s="360"/>
      <c r="D2" s="360"/>
      <c r="E2" s="360"/>
      <c r="F2" s="360"/>
      <c r="G2" s="360"/>
      <c r="H2" s="360"/>
      <c r="I2" s="360"/>
    </row>
    <row r="3" spans="1:9" s="165" customFormat="1" ht="13.5">
      <c r="A3" s="360"/>
      <c r="B3" s="360"/>
      <c r="C3" s="360"/>
      <c r="D3" s="360"/>
      <c r="E3" s="360"/>
      <c r="F3" s="360"/>
      <c r="G3" s="360"/>
      <c r="H3" s="361" t="s">
        <v>117</v>
      </c>
      <c r="I3" s="360"/>
    </row>
    <row r="4" spans="1:9" s="165" customFormat="1" ht="13.5">
      <c r="A4" s="360"/>
      <c r="B4" s="360"/>
      <c r="C4" s="360"/>
      <c r="D4" s="360"/>
      <c r="E4" s="360"/>
      <c r="F4" s="360"/>
      <c r="G4" s="360"/>
      <c r="H4" s="360"/>
      <c r="I4" s="360"/>
    </row>
    <row r="5" spans="1:9" s="165" customFormat="1" ht="13.5">
      <c r="A5" s="474" t="s">
        <v>118</v>
      </c>
      <c r="B5" s="474"/>
      <c r="C5" s="474"/>
      <c r="D5" s="360"/>
      <c r="E5" s="360"/>
      <c r="F5" s="360"/>
      <c r="G5" s="360"/>
      <c r="H5" s="360"/>
      <c r="I5" s="360"/>
    </row>
    <row r="6" spans="1:9" s="165" customFormat="1" ht="13.5">
      <c r="A6" s="474" t="s">
        <v>199</v>
      </c>
      <c r="B6" s="474"/>
      <c r="C6" s="474"/>
      <c r="D6" s="360"/>
      <c r="E6" s="360"/>
      <c r="F6" s="360"/>
      <c r="G6" s="360"/>
      <c r="H6" s="360"/>
      <c r="I6" s="360"/>
    </row>
    <row r="7" spans="1:9" s="165" customFormat="1" ht="13.5">
      <c r="A7" s="474"/>
      <c r="B7" s="474"/>
      <c r="C7" s="474"/>
      <c r="D7" s="360"/>
      <c r="E7" s="360"/>
      <c r="F7" s="360"/>
      <c r="G7" s="360"/>
      <c r="H7" s="360"/>
      <c r="I7" s="360"/>
    </row>
    <row r="8" spans="1:9" s="165" customFormat="1" ht="13.5">
      <c r="A8" s="362"/>
      <c r="B8" s="362"/>
      <c r="C8" s="362"/>
      <c r="D8" s="360"/>
      <c r="E8" s="360"/>
      <c r="F8" s="360"/>
      <c r="G8" s="360"/>
      <c r="H8" s="360"/>
      <c r="I8" s="360"/>
    </row>
    <row r="9" spans="1:9" s="165" customFormat="1" ht="13.5">
      <c r="A9" s="362"/>
      <c r="B9" s="362"/>
      <c r="C9" s="362"/>
      <c r="D9" s="360"/>
      <c r="E9" s="360"/>
      <c r="F9" s="360"/>
      <c r="G9" s="360"/>
      <c r="H9" s="360"/>
      <c r="I9" s="360"/>
    </row>
    <row r="10" spans="1:9" s="165" customFormat="1" ht="13.5">
      <c r="A10" s="360"/>
      <c r="B10" s="360"/>
      <c r="C10" s="360"/>
      <c r="D10" s="360"/>
      <c r="E10" s="360"/>
      <c r="F10" s="360"/>
      <c r="G10" s="360"/>
      <c r="H10" s="360"/>
      <c r="I10" s="360"/>
    </row>
    <row r="11" spans="1:9" s="165" customFormat="1" ht="13.5">
      <c r="A11" s="360"/>
      <c r="B11" s="360"/>
      <c r="C11" s="360"/>
      <c r="D11" s="360"/>
      <c r="E11" s="362"/>
      <c r="F11" s="360"/>
      <c r="G11" s="360"/>
      <c r="H11" s="360"/>
      <c r="I11" s="360"/>
    </row>
    <row r="12" spans="1:9" s="165" customFormat="1" ht="13.5">
      <c r="A12" s="360"/>
      <c r="B12" s="360"/>
      <c r="C12" s="360"/>
      <c r="D12" s="360"/>
      <c r="E12" s="362"/>
      <c r="F12" s="360" t="s">
        <v>119</v>
      </c>
      <c r="G12" s="360"/>
      <c r="H12" s="360"/>
      <c r="I12" s="360"/>
    </row>
    <row r="13" spans="1:9" s="165" customFormat="1" ht="13.5">
      <c r="A13" s="360"/>
      <c r="B13" s="360"/>
      <c r="C13" s="360"/>
      <c r="D13" s="360"/>
      <c r="E13" s="362"/>
      <c r="F13" s="360" t="s">
        <v>120</v>
      </c>
      <c r="G13" s="360"/>
      <c r="H13" s="360"/>
      <c r="I13" s="360"/>
    </row>
    <row r="14" spans="1:9" s="165" customFormat="1" ht="13.5">
      <c r="A14" s="360"/>
      <c r="B14" s="360"/>
      <c r="C14" s="360"/>
      <c r="D14" s="360"/>
      <c r="E14" s="363"/>
      <c r="F14" s="360"/>
      <c r="G14" s="360"/>
      <c r="H14" s="360"/>
      <c r="I14" s="360"/>
    </row>
    <row r="15" spans="1:9" s="165" customFormat="1" ht="13.5">
      <c r="A15" s="360"/>
      <c r="B15" s="360"/>
      <c r="C15" s="360"/>
      <c r="D15" s="360"/>
      <c r="E15" s="360"/>
      <c r="F15" s="360"/>
      <c r="G15" s="360"/>
      <c r="H15" s="360"/>
      <c r="I15" s="360"/>
    </row>
    <row r="16" spans="1:9" s="165" customFormat="1">
      <c r="A16" s="360"/>
      <c r="B16" s="360"/>
      <c r="C16" s="244"/>
      <c r="D16" s="360"/>
      <c r="E16" s="360"/>
      <c r="F16" s="360"/>
      <c r="G16" s="360"/>
      <c r="H16" s="360"/>
      <c r="I16" s="360"/>
    </row>
    <row r="17" spans="1:9" s="165" customFormat="1" ht="13.5">
      <c r="A17" s="360"/>
      <c r="B17" s="360"/>
      <c r="C17" s="360"/>
      <c r="D17" s="360"/>
      <c r="E17" s="360"/>
      <c r="F17" s="360"/>
      <c r="G17" s="360"/>
      <c r="H17" s="360"/>
      <c r="I17" s="360"/>
    </row>
    <row r="18" spans="1:9" s="165" customFormat="1" ht="13.5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 ht="14.25" customHeight="1">
      <c r="A19" s="475" t="str">
        <f>様式1!E7</f>
        <v>○○○国○○○○○○○○○事業</v>
      </c>
      <c r="B19" s="475"/>
      <c r="C19" s="475"/>
      <c r="D19" s="475"/>
      <c r="E19" s="475"/>
      <c r="F19" s="475"/>
      <c r="G19" s="475"/>
      <c r="H19" s="475"/>
      <c r="I19" s="475"/>
    </row>
    <row r="20" spans="1:9">
      <c r="A20" s="475"/>
      <c r="B20" s="475"/>
      <c r="C20" s="475"/>
      <c r="D20" s="475"/>
      <c r="E20" s="475"/>
      <c r="F20" s="475"/>
      <c r="G20" s="475"/>
      <c r="H20" s="475"/>
      <c r="I20" s="475"/>
    </row>
    <row r="21" spans="1:9">
      <c r="A21" s="476" t="s">
        <v>385</v>
      </c>
      <c r="B21" s="476"/>
      <c r="C21" s="476"/>
      <c r="D21" s="476"/>
      <c r="E21" s="476"/>
      <c r="F21" s="476"/>
      <c r="G21" s="476"/>
      <c r="H21" s="476"/>
      <c r="I21" s="476"/>
    </row>
    <row r="22" spans="1:9">
      <c r="A22" s="364"/>
      <c r="B22" s="364"/>
      <c r="C22" s="364"/>
      <c r="D22" s="364"/>
      <c r="E22" s="364"/>
      <c r="F22" s="364"/>
      <c r="G22" s="364"/>
      <c r="H22" s="364"/>
      <c r="I22" s="244"/>
    </row>
    <row r="23" spans="1:9">
      <c r="A23" s="364"/>
      <c r="B23" s="364"/>
      <c r="C23" s="364"/>
      <c r="D23" s="364"/>
      <c r="E23" s="364"/>
      <c r="F23" s="364"/>
      <c r="G23" s="364"/>
      <c r="H23" s="364"/>
      <c r="I23" s="244"/>
    </row>
    <row r="24" spans="1:9">
      <c r="A24" s="477" t="s">
        <v>386</v>
      </c>
      <c r="B24" s="477"/>
      <c r="C24" s="477"/>
      <c r="D24" s="477"/>
      <c r="E24" s="477"/>
      <c r="F24" s="477"/>
      <c r="G24" s="477"/>
      <c r="H24" s="477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73" t="s">
        <v>121</v>
      </c>
      <c r="B28" s="473"/>
      <c r="C28" s="473"/>
      <c r="D28" s="473"/>
      <c r="E28" s="473"/>
      <c r="F28" s="473"/>
      <c r="G28" s="473"/>
      <c r="H28" s="473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387</v>
      </c>
      <c r="B30" s="244"/>
      <c r="C30" s="365">
        <f>様式1!G31</f>
        <v>28671840</v>
      </c>
      <c r="D30" s="366" t="s">
        <v>11</v>
      </c>
      <c r="E30" s="246" t="s">
        <v>128</v>
      </c>
      <c r="F30" s="246"/>
      <c r="G30" s="246"/>
      <c r="H30" s="365">
        <f>様式1!G30</f>
        <v>2123840</v>
      </c>
      <c r="I30" s="244" t="s">
        <v>127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388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8" t="s">
        <v>122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D2" sqref="D2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8" t="str">
        <f>IF(B5="見積金額内訳書","",IF(B5="最終見積金額内訳書","",Q6))</f>
        <v/>
      </c>
      <c r="B1" s="478"/>
      <c r="C1" s="478"/>
      <c r="F1" s="73"/>
      <c r="H1" s="21"/>
      <c r="I1" s="21"/>
      <c r="J1" s="21"/>
      <c r="K1" s="21"/>
      <c r="L1" s="21"/>
    </row>
    <row r="2" spans="1:17" ht="15" customHeight="1">
      <c r="A2" s="478"/>
      <c r="B2" s="478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4" t="s">
        <v>380</v>
      </c>
      <c r="C3" s="483"/>
      <c r="D3" s="483"/>
      <c r="E3" s="483"/>
      <c r="F3" s="483"/>
      <c r="G3" s="483"/>
      <c r="H3" s="21"/>
      <c r="I3" s="21"/>
      <c r="J3" s="21"/>
      <c r="K3" s="21"/>
      <c r="L3" s="21"/>
      <c r="M3" s="21"/>
    </row>
    <row r="4" spans="1:17" ht="15" customHeight="1">
      <c r="A4" s="21"/>
      <c r="B4" s="481"/>
      <c r="C4" s="482"/>
      <c r="D4" s="482"/>
      <c r="E4" s="482"/>
      <c r="F4" s="482"/>
      <c r="G4" s="482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3" t="s">
        <v>112</v>
      </c>
      <c r="C5" s="483"/>
      <c r="D5" s="483"/>
      <c r="E5" s="483"/>
      <c r="F5" s="483"/>
      <c r="G5" s="483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125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184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126</v>
      </c>
    </row>
    <row r="8" spans="1:17" ht="15" customHeight="1">
      <c r="A8" s="21"/>
      <c r="B8" s="76" t="s">
        <v>52</v>
      </c>
      <c r="C8" s="76"/>
      <c r="D8" s="76"/>
      <c r="E8" s="78" t="s">
        <v>202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174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28671840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188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189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190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260</v>
      </c>
      <c r="P14" s="75"/>
      <c r="Q14" s="75"/>
    </row>
    <row r="15" spans="1:17" ht="30" customHeight="1" thickBot="1">
      <c r="A15" s="21"/>
      <c r="B15" s="25" t="s">
        <v>54</v>
      </c>
      <c r="C15" s="479" t="s">
        <v>68</v>
      </c>
      <c r="D15" s="479"/>
      <c r="E15" s="479"/>
      <c r="F15" s="265"/>
      <c r="G15" s="27">
        <f>G16+G17+G18</f>
        <v>15313000</v>
      </c>
      <c r="H15" s="27" t="s">
        <v>1</v>
      </c>
      <c r="O15" s="247" t="s">
        <v>380</v>
      </c>
    </row>
    <row r="16" spans="1:17" ht="21" customHeight="1" thickTop="1">
      <c r="A16" s="21"/>
      <c r="B16" s="21"/>
      <c r="C16" s="28" t="s">
        <v>2</v>
      </c>
      <c r="D16" s="488" t="s">
        <v>7</v>
      </c>
      <c r="E16" s="488"/>
      <c r="F16" s="268"/>
      <c r="G16" s="30">
        <f>'様式2_1人件費  2_2その他原価・一般管理費等'!$E$8</f>
        <v>6101000</v>
      </c>
      <c r="H16" s="30" t="s">
        <v>1</v>
      </c>
      <c r="O16" s="247" t="s">
        <v>261</v>
      </c>
    </row>
    <row r="17" spans="1:17" ht="21" customHeight="1">
      <c r="A17" s="21"/>
      <c r="B17" s="21"/>
      <c r="C17" s="28" t="s">
        <v>4</v>
      </c>
      <c r="D17" s="488" t="s">
        <v>64</v>
      </c>
      <c r="E17" s="488"/>
      <c r="F17" s="268"/>
      <c r="G17" s="32">
        <f>'様式2_1人件費  2_2その他原価・一般管理費等'!$M$6</f>
        <v>5684000</v>
      </c>
      <c r="H17" s="32" t="s">
        <v>1</v>
      </c>
    </row>
    <row r="18" spans="1:17" ht="21" customHeight="1">
      <c r="A18" s="21"/>
      <c r="B18" s="33"/>
      <c r="C18" s="28" t="s">
        <v>8</v>
      </c>
      <c r="D18" s="487" t="s">
        <v>9</v>
      </c>
      <c r="E18" s="487"/>
      <c r="F18" s="267"/>
      <c r="G18" s="32">
        <f>'様式2_1人件費  2_2その他原価・一般管理費等'!$M$8</f>
        <v>3528000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10255000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2650000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361</v>
      </c>
      <c r="E21" s="31"/>
      <c r="F21" s="31"/>
      <c r="G21" s="32">
        <f>G22+G23</f>
        <v>5211000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359</v>
      </c>
      <c r="F22" s="31"/>
      <c r="G22" s="32">
        <f>様式2_4旅費!$F$4</f>
        <v>1997000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360</v>
      </c>
      <c r="F23" s="31"/>
      <c r="G23" s="32">
        <f>様式2_4旅費!$F$6</f>
        <v>3214000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1406000</v>
      </c>
      <c r="H24" s="32" t="s">
        <v>1</v>
      </c>
    </row>
    <row r="25" spans="1:17" ht="21" customHeight="1">
      <c r="A25" s="21"/>
      <c r="B25" s="31"/>
      <c r="C25" s="249" t="s">
        <v>381</v>
      </c>
      <c r="D25" s="20" t="s">
        <v>155</v>
      </c>
      <c r="F25" s="31"/>
      <c r="G25" s="32">
        <f>'様式2_6本邦受入活動費&amp;管理費'!$E$4</f>
        <v>988000</v>
      </c>
      <c r="H25" s="32" t="s">
        <v>1</v>
      </c>
    </row>
    <row r="26" spans="1:17" ht="21" customHeight="1">
      <c r="A26" s="21"/>
      <c r="B26" s="31"/>
      <c r="C26" s="250"/>
      <c r="F26" s="31"/>
      <c r="G26" s="466"/>
      <c r="H26" s="466"/>
    </row>
    <row r="27" spans="1:17" ht="21" customHeight="1">
      <c r="A27" s="21"/>
      <c r="B27" s="33"/>
      <c r="C27" s="33"/>
      <c r="D27" s="29"/>
      <c r="E27" s="21"/>
      <c r="F27" s="21"/>
      <c r="G27" s="467"/>
      <c r="H27" s="467"/>
    </row>
    <row r="28" spans="1:17" ht="21" customHeight="1" thickBot="1">
      <c r="A28" s="21"/>
      <c r="B28" s="103" t="s">
        <v>58</v>
      </c>
      <c r="C28" s="479" t="s">
        <v>6</v>
      </c>
      <c r="D28" s="479"/>
      <c r="E28" s="479"/>
      <c r="F28" s="267"/>
      <c r="G28" s="27">
        <f>'様式2_6本邦受入活動費&amp;管理費'!E23</f>
        <v>980000</v>
      </c>
      <c r="H28" s="61" t="s">
        <v>1</v>
      </c>
    </row>
    <row r="29" spans="1:17" ht="30" customHeight="1" thickTop="1" thickBot="1">
      <c r="A29" s="21"/>
      <c r="B29" s="25" t="s">
        <v>0</v>
      </c>
      <c r="C29" s="480" t="s">
        <v>10</v>
      </c>
      <c r="D29" s="480"/>
      <c r="E29" s="480"/>
      <c r="F29" s="266"/>
      <c r="G29" s="34">
        <f>G15+G19+G28</f>
        <v>26548000</v>
      </c>
      <c r="H29" s="34" t="s">
        <v>1</v>
      </c>
    </row>
    <row r="30" spans="1:17" ht="30" customHeight="1" thickTop="1" thickBot="1">
      <c r="A30" s="21"/>
      <c r="B30" s="25" t="s">
        <v>45</v>
      </c>
      <c r="C30" s="480" t="s">
        <v>56</v>
      </c>
      <c r="D30" s="480"/>
      <c r="E30" s="480"/>
      <c r="F30" s="18"/>
      <c r="G30" s="34">
        <f>G29*0.08</f>
        <v>2123840</v>
      </c>
      <c r="H30" s="34" t="s">
        <v>1</v>
      </c>
    </row>
    <row r="31" spans="1:17" ht="24" customHeight="1" thickTop="1" thickBot="1">
      <c r="A31" s="21"/>
      <c r="B31" s="25" t="s">
        <v>50</v>
      </c>
      <c r="C31" s="480" t="s">
        <v>236</v>
      </c>
      <c r="D31" s="480"/>
      <c r="E31" s="480"/>
      <c r="F31" s="480"/>
      <c r="G31" s="34">
        <f>G29+G30</f>
        <v>28671840</v>
      </c>
      <c r="H31" s="34" t="s">
        <v>1</v>
      </c>
    </row>
    <row r="32" spans="1:17" ht="51" customHeight="1" thickTop="1">
      <c r="A32" s="21"/>
      <c r="B32" s="485"/>
      <c r="C32" s="485"/>
      <c r="D32" s="485"/>
      <c r="E32" s="486"/>
      <c r="F32" s="486"/>
      <c r="G32" s="486"/>
      <c r="H32" s="486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S18" sqref="S18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400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400" customWidth="1"/>
    <col min="12" max="12" width="18.625" style="81" customWidth="1"/>
    <col min="13" max="13" width="16.375" style="81" customWidth="1"/>
    <col min="14" max="14" width="7.5" style="81" customWidth="1"/>
    <col min="15" max="15" width="16.375" style="81" customWidth="1"/>
    <col min="16" max="16" width="9" style="81"/>
    <col min="17" max="17" width="16.25" style="81" customWidth="1"/>
    <col min="18" max="16384" width="9" style="81"/>
  </cols>
  <sheetData>
    <row r="2" spans="1:19" ht="24.75" customHeight="1">
      <c r="B2" s="489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89"/>
      <c r="D2" s="489"/>
      <c r="E2" s="489"/>
      <c r="F2" s="489"/>
      <c r="G2" s="489"/>
      <c r="H2" s="489"/>
      <c r="I2" s="489"/>
      <c r="J2" s="399"/>
      <c r="S2" s="81" t="s">
        <v>92</v>
      </c>
    </row>
    <row r="3" spans="1:19">
      <c r="A3" s="271"/>
      <c r="B3" s="273"/>
      <c r="C3" s="273"/>
      <c r="E3" s="273"/>
      <c r="F3" s="273"/>
      <c r="G3" s="273"/>
      <c r="H3" s="273"/>
      <c r="I3" s="400"/>
      <c r="J3" s="400"/>
      <c r="S3" s="81" t="s">
        <v>123</v>
      </c>
    </row>
    <row r="4" spans="1:19">
      <c r="A4" s="456" t="s">
        <v>379</v>
      </c>
      <c r="B4" s="456"/>
      <c r="C4" s="456"/>
      <c r="D4" s="457"/>
      <c r="E4" s="457"/>
      <c r="K4" s="456" t="s">
        <v>379</v>
      </c>
      <c r="L4" s="456"/>
      <c r="M4" s="456"/>
      <c r="N4" s="457"/>
      <c r="O4" s="457"/>
      <c r="S4" s="81" t="s">
        <v>124</v>
      </c>
    </row>
    <row r="5" spans="1:19" ht="15" thickBot="1">
      <c r="B5" s="82"/>
      <c r="C5" s="82"/>
      <c r="D5" s="442"/>
      <c r="E5" s="19"/>
    </row>
    <row r="6" spans="1:19" ht="20.100000000000001" customHeight="1" thickBot="1">
      <c r="D6" s="272"/>
      <c r="E6" s="493">
        <f>M28+O28+Q28</f>
        <v>15313000</v>
      </c>
      <c r="F6" s="494"/>
      <c r="G6" s="81" t="s">
        <v>1</v>
      </c>
      <c r="K6" s="81" t="s">
        <v>70</v>
      </c>
      <c r="M6" s="418">
        <f>O28</f>
        <v>5684000</v>
      </c>
      <c r="N6" s="81" t="s">
        <v>1</v>
      </c>
    </row>
    <row r="7" spans="1:19" ht="20.100000000000001" customHeight="1">
      <c r="B7" s="83"/>
      <c r="C7" s="83"/>
      <c r="D7" s="272"/>
      <c r="L7" s="98"/>
      <c r="M7" s="449"/>
      <c r="N7" s="450"/>
    </row>
    <row r="8" spans="1:19" ht="20.100000000000001" customHeight="1" thickBot="1">
      <c r="A8" s="81" t="s">
        <v>33</v>
      </c>
      <c r="E8" s="491">
        <f>G84</f>
        <v>6101000</v>
      </c>
      <c r="F8" s="492"/>
      <c r="G8" s="81" t="s">
        <v>1</v>
      </c>
      <c r="K8" s="81" t="s">
        <v>40</v>
      </c>
      <c r="M8" s="418">
        <f>Q28</f>
        <v>3528000</v>
      </c>
      <c r="N8" s="81" t="s">
        <v>1</v>
      </c>
      <c r="O8" s="98"/>
    </row>
    <row r="9" spans="1:19" ht="20.100000000000001" customHeight="1" thickTop="1">
      <c r="E9" s="269"/>
      <c r="F9" s="270"/>
      <c r="K9" s="81"/>
      <c r="M9" s="455"/>
    </row>
    <row r="10" spans="1:19" ht="21" customHeight="1">
      <c r="B10" s="81" t="s">
        <v>222</v>
      </c>
      <c r="L10" s="100"/>
      <c r="M10" s="451" t="s">
        <v>374</v>
      </c>
      <c r="N10" s="495" t="s">
        <v>64</v>
      </c>
      <c r="O10" s="495"/>
      <c r="P10" s="495" t="s">
        <v>9</v>
      </c>
      <c r="Q10" s="495"/>
    </row>
    <row r="11" spans="1:19" ht="57">
      <c r="A11" s="119" t="s">
        <v>83</v>
      </c>
      <c r="B11" s="276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6" t="s">
        <v>38</v>
      </c>
      <c r="I11" s="84" t="s">
        <v>48</v>
      </c>
      <c r="J11" s="410"/>
      <c r="K11" s="84" t="s">
        <v>38</v>
      </c>
      <c r="L11" s="84" t="s">
        <v>150</v>
      </c>
      <c r="M11" s="84" t="s">
        <v>375</v>
      </c>
      <c r="N11" s="84" t="s">
        <v>376</v>
      </c>
      <c r="O11" s="84" t="s">
        <v>264</v>
      </c>
      <c r="P11" s="84" t="s">
        <v>376</v>
      </c>
      <c r="Q11" s="84" t="s">
        <v>263</v>
      </c>
    </row>
    <row r="12" spans="1:19" ht="42.75">
      <c r="A12" s="420">
        <v>3</v>
      </c>
      <c r="B12" s="314" t="str">
        <f>IF($A12="","",VLOOKUP($A12,従事者明細!$A$3:$L$52,2,FALSE))</f>
        <v>阿部　一朗
（東京）</v>
      </c>
      <c r="C12" s="314" t="str">
        <f>IF($A12="","",VLOOKUP($A12,従事者明細!$A$3:$L$52,3,FALSE))</f>
        <v>チーフアドバイザー/開発課題2/市場調査</v>
      </c>
      <c r="D12" s="137">
        <f>IF($A12="","",VLOOKUP($A12,従事者明細!$A$3:$L$52,6,FALSE))</f>
        <v>2</v>
      </c>
      <c r="E12" s="314">
        <f>IF($A12="","",VLOOKUP($A12,従事者明細!$A$3:$L$52,10,FALSE))</f>
        <v>998000</v>
      </c>
      <c r="F12" s="315">
        <f>IF(I12="","",ROUND(I12/30,2))</f>
        <v>1</v>
      </c>
      <c r="G12" s="316">
        <f>IF(D12="","",E12*ROUND(F12,2))</f>
        <v>998000</v>
      </c>
      <c r="H12" s="317" t="str">
        <f>IF($A12="","",VLOOKUP($A12,従事者明細!$A$3:$F$52,4,FALSE))</f>
        <v>A-1</v>
      </c>
      <c r="I12" s="85">
        <v>30</v>
      </c>
      <c r="J12" s="100"/>
      <c r="K12" s="419" t="s">
        <v>282</v>
      </c>
      <c r="L12" s="171" t="str">
        <f>IF($K12="","",VLOOKUP($K12,従事者明細!$D$3:$L$52,2,FALSE))</f>
        <v>㈱FIFAコンサルタント</v>
      </c>
      <c r="M12" s="171">
        <f t="shared" ref="M12:M26" si="0">IF($K12="","",VLOOKUP($K12,$F$65:$H$79,3,FALSE))</f>
        <v>2863160</v>
      </c>
      <c r="N12" s="401">
        <v>1.2</v>
      </c>
      <c r="O12" s="402">
        <f>IF($K12="","",ROUND(M12*N12,0))</f>
        <v>3435792</v>
      </c>
      <c r="P12" s="401">
        <v>0.4</v>
      </c>
      <c r="Q12" s="402">
        <f>IF($K12="","",ROUND((M12+O12)*P12,0))</f>
        <v>2519581</v>
      </c>
    </row>
    <row r="13" spans="1:19" ht="30" customHeight="1">
      <c r="A13" s="420">
        <v>4</v>
      </c>
      <c r="B13" s="314" t="str">
        <f>IF($A13="","",VLOOKUP($A13,従事者明細!$A$3:$L$52,2,FALSE))</f>
        <v>半沢　直樹
（東京）</v>
      </c>
      <c r="C13" s="314" t="str">
        <f>IF($A13="","",VLOOKUP($A13,従事者明細!$A$3:$L$52,3,FALSE))</f>
        <v>パートナー連携</v>
      </c>
      <c r="D13" s="137">
        <f>IF($A13="","",VLOOKUP($A13,従事者明細!$A$3:$L$52,6,FALSE))</f>
        <v>4</v>
      </c>
      <c r="E13" s="314">
        <f>IF($A13="","",VLOOKUP($A13,従事者明細!$A$3:$L$52,10,FALSE))</f>
        <v>732000</v>
      </c>
      <c r="F13" s="315">
        <f t="shared" ref="F13" si="1">IF(I13="","",ROUND(I13/30,2))</f>
        <v>1</v>
      </c>
      <c r="G13" s="316">
        <f t="shared" ref="G13" si="2">IF(D13="","",E13*ROUND(F13,2))</f>
        <v>732000</v>
      </c>
      <c r="H13" s="317" t="str">
        <f>IF($A13="","",VLOOKUP($A13,従事者明細!$A$3:$F$52,4,FALSE))</f>
        <v>A-1</v>
      </c>
      <c r="I13" s="85">
        <v>30</v>
      </c>
      <c r="J13" s="100"/>
      <c r="K13" s="419" t="s">
        <v>283</v>
      </c>
      <c r="L13" s="171" t="str">
        <f>IF($K13="","",VLOOKUP($K13,従事者明細!$D$3:$L$52,2,FALSE))</f>
        <v>DDDコンサル㈱</v>
      </c>
      <c r="M13" s="171">
        <f t="shared" si="0"/>
        <v>1094340</v>
      </c>
      <c r="N13" s="401">
        <v>0.75</v>
      </c>
      <c r="O13" s="402">
        <f t="shared" ref="O13:O26" si="3">IF($K13="","",ROUND(M13*N13,0))</f>
        <v>820755</v>
      </c>
      <c r="P13" s="401">
        <v>0.4</v>
      </c>
      <c r="Q13" s="402">
        <f t="shared" ref="Q13:Q26" si="4">IF($K13="","",ROUND((M13+O13)*P13,0))</f>
        <v>766038</v>
      </c>
    </row>
    <row r="14" spans="1:19" ht="30" customHeight="1">
      <c r="A14" s="420">
        <v>5</v>
      </c>
      <c r="B14" s="314" t="str">
        <f>IF($A14="","",VLOOKUP($A14,従事者明細!$A$3:$L$52,2,FALSE))</f>
        <v>鈴木　花子
（ハノイ）</v>
      </c>
      <c r="C14" s="314" t="str">
        <f>IF($A14="","",VLOOKUP($A14,従事者明細!$A$3:$L$52,3,FALSE))</f>
        <v>環境社会配慮調査</v>
      </c>
      <c r="D14" s="137">
        <f>IF($A14="","",VLOOKUP($A14,従事者明細!$A$3:$L$52,6,FALSE))</f>
        <v>5</v>
      </c>
      <c r="E14" s="314">
        <f>IF($A14="","",VLOOKUP($A14,従事者明細!$A$3:$L$52,10,FALSE))</f>
        <v>598000</v>
      </c>
      <c r="F14" s="315">
        <f t="shared" ref="F14:F26" si="5">IF(I14="","",ROUND(I14/30,2))</f>
        <v>0.33</v>
      </c>
      <c r="G14" s="316">
        <f t="shared" ref="G14:G26" si="6">IF(D14="","",E14*ROUND(F14,2))</f>
        <v>197340</v>
      </c>
      <c r="H14" s="317" t="str">
        <f>IF($A14="","",VLOOKUP($A14,従事者明細!$A$3:$F$52,4,FALSE))</f>
        <v>B-1</v>
      </c>
      <c r="I14" s="85">
        <v>10</v>
      </c>
      <c r="J14" s="100"/>
      <c r="K14" s="419" t="s">
        <v>284</v>
      </c>
      <c r="L14" s="171" t="str">
        <f>IF($K14="","",VLOOKUP($K14,従事者明細!$D$3:$L$52,2,FALSE))</f>
        <v>GGG科学</v>
      </c>
      <c r="M14" s="171">
        <f t="shared" si="0"/>
        <v>346840</v>
      </c>
      <c r="N14" s="401">
        <v>0.75</v>
      </c>
      <c r="O14" s="402">
        <f t="shared" si="3"/>
        <v>260130</v>
      </c>
      <c r="P14" s="401">
        <v>0.4</v>
      </c>
      <c r="Q14" s="402">
        <f t="shared" si="4"/>
        <v>242788</v>
      </c>
    </row>
    <row r="15" spans="1:19" ht="30" customHeight="1">
      <c r="A15" s="420">
        <v>6</v>
      </c>
      <c r="B15" s="314" t="str">
        <f>IF($A15="","",VLOOKUP($A15,従事者明細!$A$3:$L$52,2,FALSE))</f>
        <v>国際　太郎
（埼玉）</v>
      </c>
      <c r="C15" s="314" t="str">
        <f>IF($A15="","",VLOOKUP($A15,従事者明細!$A$3:$L$52,3,FALSE))</f>
        <v>法制度調査</v>
      </c>
      <c r="D15" s="137">
        <f>IF($A15="","",VLOOKUP($A15,従事者明細!$A$3:$L$52,6,FALSE))</f>
        <v>3</v>
      </c>
      <c r="E15" s="314">
        <f>IF($A15="","",VLOOKUP($A15,従事者明細!$A$3:$L$52,10,FALSE))</f>
        <v>870000</v>
      </c>
      <c r="F15" s="315">
        <f t="shared" si="5"/>
        <v>1.1000000000000001</v>
      </c>
      <c r="G15" s="316">
        <f t="shared" si="6"/>
        <v>957000.00000000012</v>
      </c>
      <c r="H15" s="317" t="str">
        <f>IF($A15="","",VLOOKUP($A15,従事者明細!$A$3:$F$52,4,FALSE))</f>
        <v>C-1</v>
      </c>
      <c r="I15" s="85">
        <v>33</v>
      </c>
      <c r="J15" s="100"/>
      <c r="K15" s="419" t="s">
        <v>286</v>
      </c>
      <c r="L15" s="171" t="str">
        <f>IF($K15="","",VLOOKUP($K15,従事者明細!$D$3:$L$52,2,FALSE))</f>
        <v>個人</v>
      </c>
      <c r="M15" s="171">
        <f t="shared" si="0"/>
        <v>1174500</v>
      </c>
      <c r="N15" s="401">
        <v>0.65</v>
      </c>
      <c r="O15" s="402">
        <f t="shared" si="3"/>
        <v>763425</v>
      </c>
      <c r="P15" s="401">
        <v>0</v>
      </c>
      <c r="Q15" s="402">
        <f t="shared" si="4"/>
        <v>0</v>
      </c>
    </row>
    <row r="16" spans="1:19" ht="30" customHeight="1">
      <c r="A16" s="420">
        <v>8</v>
      </c>
      <c r="B16" s="314" t="str">
        <f>IF($A16="","",VLOOKUP($A16,従事者明細!$A$3:$L$52,2,FALSE))</f>
        <v>石田　次郎
（長野）</v>
      </c>
      <c r="C16" s="314" t="str">
        <f>IF($A16="","",VLOOKUP($A16,従事者明細!$A$3:$L$52,3,FALSE))</f>
        <v>肥料設計/開発効果</v>
      </c>
      <c r="D16" s="137">
        <f>IF($A16="","",VLOOKUP($A16,従事者明細!$A$3:$L$52,6,FALSE))</f>
        <v>5</v>
      </c>
      <c r="E16" s="314">
        <f>IF($A16="","",VLOOKUP($A16,従事者明細!$A$3:$L$52,10,FALSE))</f>
        <v>598000</v>
      </c>
      <c r="F16" s="315">
        <f t="shared" si="5"/>
        <v>0.33</v>
      </c>
      <c r="G16" s="316">
        <f t="shared" si="6"/>
        <v>197340</v>
      </c>
      <c r="H16" s="317" t="str">
        <f>IF($A16="","",VLOOKUP($A16,従事者明細!$A$3:$F$52,4,FALSE))</f>
        <v>B-2</v>
      </c>
      <c r="I16" s="85">
        <v>10</v>
      </c>
      <c r="J16" s="100"/>
      <c r="K16" s="419" t="s">
        <v>365</v>
      </c>
      <c r="L16" s="171" t="str">
        <f>IF($K16="","",VLOOKUP($K16,従事者明細!$D$3:$L$52,2,FALSE))</f>
        <v>○○大学</v>
      </c>
      <c r="M16" s="171">
        <f t="shared" si="0"/>
        <v>622200</v>
      </c>
      <c r="N16" s="401">
        <v>0.65</v>
      </c>
      <c r="O16" s="402">
        <f t="shared" si="3"/>
        <v>404430</v>
      </c>
      <c r="P16" s="401">
        <v>0</v>
      </c>
      <c r="Q16" s="402">
        <f t="shared" si="4"/>
        <v>0</v>
      </c>
    </row>
    <row r="17" spans="1:17" ht="30" customHeight="1">
      <c r="A17" s="420">
        <v>9</v>
      </c>
      <c r="B17" s="314" t="str">
        <f>IF($A17="","",VLOOKUP($A17,従事者明細!$A$3:$L$52,2,FALSE))</f>
        <v>佐藤　次郎
（京都）</v>
      </c>
      <c r="C17" s="314" t="str">
        <f>IF($A17="","",VLOOKUP($A17,従事者明細!$A$3:$L$52,3,FALSE))</f>
        <v>システム設計</v>
      </c>
      <c r="D17" s="137">
        <f>IF($A17="","",VLOOKUP($A17,従事者明細!$A$3:$L$52,6,FALSE))</f>
        <v>4</v>
      </c>
      <c r="E17" s="314">
        <f>IF($A17="","",VLOOKUP($A17,従事者明細!$A$3:$L$52,10,FALSE))</f>
        <v>732000</v>
      </c>
      <c r="F17" s="315">
        <f t="shared" si="5"/>
        <v>0.5</v>
      </c>
      <c r="G17" s="316">
        <f t="shared" si="6"/>
        <v>366000</v>
      </c>
      <c r="H17" s="317" t="str">
        <f>IF($A17="","",VLOOKUP($A17,従事者明細!$A$3:$F$52,4,FALSE))</f>
        <v>C-2</v>
      </c>
      <c r="I17" s="85">
        <v>15</v>
      </c>
      <c r="J17" s="100"/>
      <c r="K17" s="419"/>
      <c r="L17" s="171" t="str">
        <f>IF($K17="","",VLOOKUP($K17,従事者明細!$D$3:$L$52,2,FALSE))</f>
        <v/>
      </c>
      <c r="M17" s="171" t="str">
        <f t="shared" si="0"/>
        <v/>
      </c>
      <c r="N17" s="401"/>
      <c r="O17" s="402" t="str">
        <f t="shared" si="3"/>
        <v/>
      </c>
      <c r="P17" s="401"/>
      <c r="Q17" s="402" t="str">
        <f t="shared" si="4"/>
        <v/>
      </c>
    </row>
    <row r="18" spans="1:17" ht="30" customHeight="1">
      <c r="A18" s="420">
        <v>10</v>
      </c>
      <c r="B18" s="314" t="str">
        <f>IF($A18="","",VLOOKUP($A18,従事者明細!$A$3:$L$52,2,FALSE))</f>
        <v>星　輝
（千葉）</v>
      </c>
      <c r="C18" s="314" t="str">
        <f>IF($A18="","",VLOOKUP($A18,従事者明細!$A$3:$L$52,3,FALSE))</f>
        <v>海外市場調査</v>
      </c>
      <c r="D18" s="137">
        <f>IF($A18="","",VLOOKUP($A18,従事者明細!$A$3:$L$52,6,FALSE))</f>
        <v>6</v>
      </c>
      <c r="E18" s="314">
        <f>IF($A18="","",VLOOKUP($A18,従事者明細!$A$3:$L$52,10,FALSE))</f>
        <v>502000</v>
      </c>
      <c r="F18" s="315">
        <f t="shared" si="5"/>
        <v>0.33</v>
      </c>
      <c r="G18" s="316">
        <f t="shared" si="6"/>
        <v>165660</v>
      </c>
      <c r="H18" s="317" t="str">
        <f>IF($A18="","",VLOOKUP($A18,従事者明細!$A$3:$F$52,4,FALSE))</f>
        <v>A-1</v>
      </c>
      <c r="I18" s="85">
        <v>10</v>
      </c>
      <c r="J18" s="100"/>
      <c r="K18" s="419"/>
      <c r="L18" s="171" t="str">
        <f>IF($K18="","",VLOOKUP($K18,従事者明細!$D$3:$L$52,2,FALSE))</f>
        <v/>
      </c>
      <c r="M18" s="171" t="str">
        <f t="shared" si="0"/>
        <v/>
      </c>
      <c r="N18" s="401"/>
      <c r="O18" s="402" t="str">
        <f t="shared" si="3"/>
        <v/>
      </c>
      <c r="P18" s="401"/>
      <c r="Q18" s="402" t="str">
        <f t="shared" si="4"/>
        <v/>
      </c>
    </row>
    <row r="19" spans="1:17" ht="30" customHeight="1">
      <c r="A19" s="420"/>
      <c r="B19" s="314" t="str">
        <f>IF($A19="","",VLOOKUP($A19,従事者明細!$A$3:$L$52,2,FALSE))</f>
        <v/>
      </c>
      <c r="C19" s="314" t="str">
        <f>IF($A19="","",VLOOKUP($A19,従事者明細!$A$3:$L$52,3,FALSE))</f>
        <v/>
      </c>
      <c r="D19" s="137" t="str">
        <f>IF($A19="","",VLOOKUP($A19,従事者明細!$A$3:$L$52,6,FALSE))</f>
        <v/>
      </c>
      <c r="E19" s="314" t="str">
        <f>IF($A19="","",VLOOKUP($A19,従事者明細!$A$3:$L$52,10,FALSE))</f>
        <v/>
      </c>
      <c r="F19" s="315" t="str">
        <f t="shared" si="5"/>
        <v/>
      </c>
      <c r="G19" s="316" t="str">
        <f t="shared" si="6"/>
        <v/>
      </c>
      <c r="H19" s="317" t="str">
        <f>IF($A19="","",VLOOKUP($A19,従事者明細!$A$3:$F$52,4,FALSE))</f>
        <v/>
      </c>
      <c r="I19" s="85"/>
      <c r="J19" s="100"/>
      <c r="K19" s="419"/>
      <c r="L19" s="171" t="str">
        <f>IF($K19="","",VLOOKUP($K19,従事者明細!$D$3:$L$52,2,FALSE))</f>
        <v/>
      </c>
      <c r="M19" s="171" t="str">
        <f t="shared" si="0"/>
        <v/>
      </c>
      <c r="N19" s="401"/>
      <c r="O19" s="402" t="str">
        <f t="shared" si="3"/>
        <v/>
      </c>
      <c r="P19" s="401"/>
      <c r="Q19" s="402" t="str">
        <f t="shared" si="4"/>
        <v/>
      </c>
    </row>
    <row r="20" spans="1:17" ht="30" hidden="1" customHeight="1">
      <c r="A20" s="420"/>
      <c r="B20" s="314" t="str">
        <f>IF($A20="","",VLOOKUP($A20,従事者明細!$A$3:$L$52,2,FALSE))</f>
        <v/>
      </c>
      <c r="C20" s="314" t="str">
        <f>IF($A20="","",VLOOKUP($A20,従事者明細!$A$3:$L$52,3,FALSE))</f>
        <v/>
      </c>
      <c r="D20" s="137" t="str">
        <f>IF($A20="","",VLOOKUP($A20,従事者明細!$A$3:$L$52,6,FALSE))</f>
        <v/>
      </c>
      <c r="E20" s="314" t="str">
        <f>IF($A20="","",VLOOKUP($A20,従事者明細!$A$3:$L$52,10,FALSE))</f>
        <v/>
      </c>
      <c r="F20" s="315" t="str">
        <f t="shared" si="5"/>
        <v/>
      </c>
      <c r="G20" s="316" t="str">
        <f t="shared" si="6"/>
        <v/>
      </c>
      <c r="H20" s="317" t="str">
        <f>IF($A20="","",VLOOKUP($A20,従事者明細!$A$3:$F$52,4,FALSE))</f>
        <v/>
      </c>
      <c r="I20" s="85"/>
      <c r="J20" s="100"/>
      <c r="K20" s="419"/>
      <c r="L20" s="171" t="str">
        <f>IF($K20="","",VLOOKUP($K20,従事者明細!$D$3:$L$52,2,FALSE))</f>
        <v/>
      </c>
      <c r="M20" s="171" t="str">
        <f t="shared" si="0"/>
        <v/>
      </c>
      <c r="N20" s="401"/>
      <c r="O20" s="402" t="str">
        <f t="shared" si="3"/>
        <v/>
      </c>
      <c r="P20" s="401"/>
      <c r="Q20" s="402" t="str">
        <f t="shared" si="4"/>
        <v/>
      </c>
    </row>
    <row r="21" spans="1:17" ht="30" hidden="1" customHeight="1">
      <c r="A21" s="420"/>
      <c r="B21" s="314" t="str">
        <f>IF($A21="","",VLOOKUP($A21,従事者明細!$A$3:$L$52,2,FALSE))</f>
        <v/>
      </c>
      <c r="C21" s="314" t="str">
        <f>IF($A21="","",VLOOKUP($A21,従事者明細!$A$3:$L$52,3,FALSE))</f>
        <v/>
      </c>
      <c r="D21" s="137" t="str">
        <f>IF($A21="","",VLOOKUP($A21,従事者明細!$A$3:$L$52,6,FALSE))</f>
        <v/>
      </c>
      <c r="E21" s="314" t="str">
        <f>IF($A21="","",VLOOKUP($A21,従事者明細!$A$3:$L$52,10,FALSE))</f>
        <v/>
      </c>
      <c r="F21" s="315" t="str">
        <f t="shared" si="5"/>
        <v/>
      </c>
      <c r="G21" s="316" t="str">
        <f t="shared" si="6"/>
        <v/>
      </c>
      <c r="H21" s="317" t="str">
        <f>IF($A21="","",VLOOKUP($A21,従事者明細!$A$3:$F$52,4,FALSE))</f>
        <v/>
      </c>
      <c r="I21" s="85"/>
      <c r="J21" s="100"/>
      <c r="K21" s="419"/>
      <c r="L21" s="171" t="str">
        <f>IF($K21="","",VLOOKUP($K21,従事者明細!$D$3:$L$52,2,FALSE))</f>
        <v/>
      </c>
      <c r="M21" s="171" t="str">
        <f t="shared" si="0"/>
        <v/>
      </c>
      <c r="N21" s="401"/>
      <c r="O21" s="402" t="str">
        <f t="shared" si="3"/>
        <v/>
      </c>
      <c r="P21" s="401"/>
      <c r="Q21" s="402" t="str">
        <f t="shared" si="4"/>
        <v/>
      </c>
    </row>
    <row r="22" spans="1:17" ht="30" hidden="1" customHeight="1">
      <c r="A22" s="420"/>
      <c r="B22" s="314" t="str">
        <f>IF($A22="","",VLOOKUP($A22,従事者明細!$A$3:$L$52,2,FALSE))</f>
        <v/>
      </c>
      <c r="C22" s="314" t="str">
        <f>IF($A22="","",VLOOKUP($A22,従事者明細!$A$3:$L$52,3,FALSE))</f>
        <v/>
      </c>
      <c r="D22" s="137" t="str">
        <f>IF($A22="","",VLOOKUP($A22,従事者明細!$A$3:$L$52,6,FALSE))</f>
        <v/>
      </c>
      <c r="E22" s="314" t="str">
        <f>IF($A22="","",VLOOKUP($A22,従事者明細!$A$3:$L$52,10,FALSE))</f>
        <v/>
      </c>
      <c r="F22" s="315" t="str">
        <f t="shared" si="5"/>
        <v/>
      </c>
      <c r="G22" s="316" t="str">
        <f t="shared" si="6"/>
        <v/>
      </c>
      <c r="H22" s="317" t="str">
        <f>IF($A22="","",VLOOKUP($A22,従事者明細!$A$3:$F$52,4,FALSE))</f>
        <v/>
      </c>
      <c r="I22" s="85"/>
      <c r="J22" s="100"/>
      <c r="K22" s="419"/>
      <c r="L22" s="171" t="str">
        <f>IF($K22="","",VLOOKUP($K22,従事者明細!$D$3:$L$52,2,FALSE))</f>
        <v/>
      </c>
      <c r="M22" s="171" t="str">
        <f t="shared" si="0"/>
        <v/>
      </c>
      <c r="N22" s="401"/>
      <c r="O22" s="402" t="str">
        <f t="shared" si="3"/>
        <v/>
      </c>
      <c r="P22" s="401"/>
      <c r="Q22" s="402" t="str">
        <f t="shared" si="4"/>
        <v/>
      </c>
    </row>
    <row r="23" spans="1:17" ht="30" hidden="1" customHeight="1">
      <c r="A23" s="420"/>
      <c r="B23" s="314" t="str">
        <f>IF($A23="","",VLOOKUP($A23,従事者明細!$A$3:$L$52,2,FALSE))</f>
        <v/>
      </c>
      <c r="C23" s="314" t="str">
        <f>IF($A23="","",VLOOKUP($A23,従事者明細!$A$3:$L$52,3,FALSE))</f>
        <v/>
      </c>
      <c r="D23" s="137" t="str">
        <f>IF($A23="","",VLOOKUP($A23,従事者明細!$A$3:$L$52,6,FALSE))</f>
        <v/>
      </c>
      <c r="E23" s="314" t="str">
        <f>IF($A23="","",VLOOKUP($A23,従事者明細!$A$3:$L$52,10,FALSE))</f>
        <v/>
      </c>
      <c r="F23" s="315" t="str">
        <f t="shared" si="5"/>
        <v/>
      </c>
      <c r="G23" s="316" t="str">
        <f t="shared" si="6"/>
        <v/>
      </c>
      <c r="H23" s="317" t="str">
        <f>IF($A23="","",VLOOKUP($A23,従事者明細!$A$3:$F$52,4,FALSE))</f>
        <v/>
      </c>
      <c r="I23" s="85"/>
      <c r="J23" s="100"/>
      <c r="K23" s="419"/>
      <c r="L23" s="171" t="str">
        <f>IF($K23="","",VLOOKUP($K23,従事者明細!$D$3:$L$52,2,FALSE))</f>
        <v/>
      </c>
      <c r="M23" s="171" t="str">
        <f t="shared" si="0"/>
        <v/>
      </c>
      <c r="N23" s="401"/>
      <c r="O23" s="402" t="str">
        <f t="shared" si="3"/>
        <v/>
      </c>
      <c r="P23" s="401"/>
      <c r="Q23" s="402" t="str">
        <f t="shared" si="4"/>
        <v/>
      </c>
    </row>
    <row r="24" spans="1:17" ht="30" hidden="1" customHeight="1">
      <c r="A24" s="420"/>
      <c r="B24" s="314" t="str">
        <f>IF($A24="","",VLOOKUP($A24,従事者明細!$A$3:$L$52,2,FALSE))</f>
        <v/>
      </c>
      <c r="C24" s="314" t="str">
        <f>IF($A24="","",VLOOKUP($A24,従事者明細!$A$3:$L$52,3,FALSE))</f>
        <v/>
      </c>
      <c r="D24" s="137" t="str">
        <f>IF($A24="","",VLOOKUP($A24,従事者明細!$A$3:$L$52,6,FALSE))</f>
        <v/>
      </c>
      <c r="E24" s="314" t="str">
        <f>IF($A24="","",VLOOKUP($A24,従事者明細!$A$3:$L$52,10,FALSE))</f>
        <v/>
      </c>
      <c r="F24" s="315" t="str">
        <f t="shared" si="5"/>
        <v/>
      </c>
      <c r="G24" s="316" t="str">
        <f t="shared" si="6"/>
        <v/>
      </c>
      <c r="H24" s="317" t="str">
        <f>IF($A24="","",VLOOKUP($A24,従事者明細!$A$3:$F$52,4,FALSE))</f>
        <v/>
      </c>
      <c r="I24" s="85"/>
      <c r="J24" s="100"/>
      <c r="K24" s="419"/>
      <c r="L24" s="171" t="str">
        <f>IF($K24="","",VLOOKUP($K24,従事者明細!$D$3:$L$52,2,FALSE))</f>
        <v/>
      </c>
      <c r="M24" s="171" t="str">
        <f t="shared" si="0"/>
        <v/>
      </c>
      <c r="N24" s="401"/>
      <c r="O24" s="402" t="str">
        <f t="shared" si="3"/>
        <v/>
      </c>
      <c r="P24" s="401"/>
      <c r="Q24" s="402" t="str">
        <f t="shared" si="4"/>
        <v/>
      </c>
    </row>
    <row r="25" spans="1:17" ht="30" hidden="1" customHeight="1">
      <c r="A25" s="420"/>
      <c r="B25" s="314" t="str">
        <f>IF($A25="","",VLOOKUP($A25,従事者明細!$A$3:$L$52,2,FALSE))</f>
        <v/>
      </c>
      <c r="C25" s="314" t="str">
        <f>IF($A25="","",VLOOKUP($A25,従事者明細!$A$3:$L$52,3,FALSE))</f>
        <v/>
      </c>
      <c r="D25" s="137" t="str">
        <f>IF($A25="","",VLOOKUP($A25,従事者明細!$A$3:$L$52,6,FALSE))</f>
        <v/>
      </c>
      <c r="E25" s="314" t="str">
        <f>IF($A25="","",VLOOKUP($A25,従事者明細!$A$3:$L$52,10,FALSE))</f>
        <v/>
      </c>
      <c r="F25" s="315" t="str">
        <f t="shared" si="5"/>
        <v/>
      </c>
      <c r="G25" s="316" t="str">
        <f t="shared" si="6"/>
        <v/>
      </c>
      <c r="H25" s="317" t="str">
        <f>IF($A25="","",VLOOKUP($A25,従事者明細!$A$3:$F$52,4,FALSE))</f>
        <v/>
      </c>
      <c r="I25" s="85"/>
      <c r="J25" s="100"/>
      <c r="K25" s="419"/>
      <c r="L25" s="171" t="str">
        <f>IF($K25="","",VLOOKUP($K25,従事者明細!$D$3:$L$52,2,FALSE))</f>
        <v/>
      </c>
      <c r="M25" s="171" t="str">
        <f t="shared" si="0"/>
        <v/>
      </c>
      <c r="N25" s="401"/>
      <c r="O25" s="402" t="str">
        <f t="shared" si="3"/>
        <v/>
      </c>
      <c r="P25" s="401"/>
      <c r="Q25" s="402" t="str">
        <f t="shared" si="4"/>
        <v/>
      </c>
    </row>
    <row r="26" spans="1:17" ht="30" customHeight="1" thickBot="1">
      <c r="A26" s="420"/>
      <c r="B26" s="314" t="str">
        <f>IF($A26="","",VLOOKUP($A26,従事者明細!$A$3:$L$52,2,FALSE))</f>
        <v/>
      </c>
      <c r="C26" s="314" t="str">
        <f>IF($A26="","",VLOOKUP($A26,従事者明細!$A$3:$L$52,3,FALSE))</f>
        <v/>
      </c>
      <c r="D26" s="137" t="str">
        <f>IF($A26="","",VLOOKUP($A26,従事者明細!$A$3:$L$52,6,FALSE))</f>
        <v/>
      </c>
      <c r="E26" s="314" t="str">
        <f>IF($A26="","",VLOOKUP($A26,従事者明細!$A$3:$L$52,10,FALSE))</f>
        <v/>
      </c>
      <c r="F26" s="315" t="str">
        <f t="shared" si="5"/>
        <v/>
      </c>
      <c r="G26" s="318" t="str">
        <f t="shared" si="6"/>
        <v/>
      </c>
      <c r="H26" s="317" t="str">
        <f>IF($A26="","",VLOOKUP($A26,従事者明細!$A$3:$F$52,4,FALSE))</f>
        <v/>
      </c>
      <c r="I26" s="355"/>
      <c r="J26" s="100"/>
      <c r="K26" s="419"/>
      <c r="L26" s="171" t="str">
        <f>IF($K26="","",VLOOKUP($K26,従事者明細!$D$3:$L$52,2,FALSE))</f>
        <v/>
      </c>
      <c r="M26" s="171" t="str">
        <f t="shared" si="0"/>
        <v/>
      </c>
      <c r="N26" s="401"/>
      <c r="O26" s="402" t="str">
        <f t="shared" si="3"/>
        <v/>
      </c>
      <c r="P26" s="401"/>
      <c r="Q26" s="402" t="str">
        <f t="shared" si="4"/>
        <v/>
      </c>
    </row>
    <row r="27" spans="1:17" ht="30" customHeight="1" thickBot="1">
      <c r="E27" s="86" t="s">
        <v>220</v>
      </c>
      <c r="F27" s="445">
        <f>SUM(F12:F26)</f>
        <v>4.59</v>
      </c>
      <c r="G27" s="326">
        <f>SUM(G12:G26)</f>
        <v>3613340</v>
      </c>
      <c r="I27" s="356">
        <f>SUM(I12:I26)</f>
        <v>138</v>
      </c>
      <c r="J27" s="412"/>
      <c r="L27" s="86" t="s">
        <v>220</v>
      </c>
      <c r="M27" s="447">
        <f>SUM(M12:M26)</f>
        <v>6101040</v>
      </c>
      <c r="O27" s="447">
        <f>SUM(O12:O26)</f>
        <v>5684532</v>
      </c>
      <c r="Q27" s="447">
        <f>SUM(Q12:Q26)</f>
        <v>3528407</v>
      </c>
    </row>
    <row r="28" spans="1:17" ht="30" customHeight="1" thickBot="1">
      <c r="B28" s="89"/>
      <c r="C28" s="89"/>
      <c r="L28" s="81" t="s">
        <v>296</v>
      </c>
      <c r="M28" s="448">
        <f>ROUNDDOWN(M27,-3)</f>
        <v>6101000</v>
      </c>
      <c r="O28" s="448">
        <f>ROUNDDOWN(O27,-3)</f>
        <v>5684000</v>
      </c>
      <c r="Q28" s="448">
        <f>ROUNDDOWN(Q27,-3)</f>
        <v>3528000</v>
      </c>
    </row>
    <row r="29" spans="1:17" ht="15" hidden="1" customHeight="1">
      <c r="B29" s="89"/>
      <c r="C29" s="89"/>
      <c r="F29" s="120" t="s">
        <v>265</v>
      </c>
      <c r="G29" s="316">
        <f>SUMIF($H$12:$H$26,"A-1",$G$12:$G$26)</f>
        <v>1895660</v>
      </c>
      <c r="H29" s="169"/>
    </row>
    <row r="30" spans="1:17" ht="15" hidden="1" customHeight="1">
      <c r="B30" s="89"/>
      <c r="C30" s="89"/>
      <c r="F30" s="120" t="s">
        <v>266</v>
      </c>
      <c r="G30" s="316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287</v>
      </c>
      <c r="G31" s="316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288</v>
      </c>
      <c r="G32" s="316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289</v>
      </c>
      <c r="G33" s="316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271</v>
      </c>
      <c r="G34" s="316">
        <f>SUMIF($H$12:$H$26,"B-1",$G$12:$G$26)</f>
        <v>197340</v>
      </c>
      <c r="H34" s="169"/>
    </row>
    <row r="35" spans="1:17" ht="15" hidden="1" customHeight="1">
      <c r="B35" s="89"/>
      <c r="C35" s="89"/>
      <c r="F35" s="120" t="s">
        <v>272</v>
      </c>
      <c r="G35" s="316">
        <f>SUMIF($H$12:$H$26,"B-2",$G$12:$G$26)</f>
        <v>197340</v>
      </c>
      <c r="H35" s="169"/>
    </row>
    <row r="36" spans="1:17" ht="15" hidden="1" customHeight="1">
      <c r="B36" s="89"/>
      <c r="C36" s="89"/>
      <c r="F36" s="120" t="s">
        <v>285</v>
      </c>
      <c r="G36" s="316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290</v>
      </c>
      <c r="G37" s="316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291</v>
      </c>
      <c r="G38" s="316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276</v>
      </c>
      <c r="G39" s="316">
        <f>SUMIF($H$12:$H$26,"C-1",$G$12:$G$26)</f>
        <v>957000.00000000012</v>
      </c>
      <c r="H39" s="169"/>
    </row>
    <row r="40" spans="1:17" ht="15" hidden="1" customHeight="1">
      <c r="B40" s="89"/>
      <c r="C40" s="89"/>
      <c r="F40" s="120" t="s">
        <v>277</v>
      </c>
      <c r="G40" s="316">
        <f>SUMIF($H$12:$H$26,"C-2",$G$12:$G$26)</f>
        <v>366000</v>
      </c>
      <c r="H40" s="169"/>
    </row>
    <row r="41" spans="1:17" ht="15" hidden="1" customHeight="1">
      <c r="B41" s="89"/>
      <c r="C41" s="89"/>
      <c r="F41" s="120" t="s">
        <v>292</v>
      </c>
      <c r="G41" s="316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293</v>
      </c>
      <c r="G42" s="316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294</v>
      </c>
      <c r="G43" s="316">
        <f>SUMIF($H$12:$H$26,"C-5",$G$12:$G$26)</f>
        <v>0</v>
      </c>
      <c r="H43" s="319"/>
    </row>
    <row r="44" spans="1:17" ht="15" hidden="1" customHeight="1">
      <c r="B44" s="89"/>
      <c r="C44" s="89"/>
      <c r="F44" s="120" t="s">
        <v>295</v>
      </c>
      <c r="G44" s="316">
        <f>SUM(G29:G43)</f>
        <v>3613340</v>
      </c>
      <c r="H44" s="319"/>
    </row>
    <row r="45" spans="1:17">
      <c r="B45" s="81" t="s">
        <v>223</v>
      </c>
    </row>
    <row r="46" spans="1:17" ht="57" customHeight="1">
      <c r="A46" s="119" t="s">
        <v>83</v>
      </c>
      <c r="B46" s="276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6" t="s">
        <v>38</v>
      </c>
      <c r="I46" s="84" t="s">
        <v>221</v>
      </c>
      <c r="J46" s="410"/>
      <c r="L46" s="67"/>
      <c r="M46" s="67"/>
      <c r="N46" s="67"/>
      <c r="O46" s="67"/>
      <c r="P46" s="67"/>
      <c r="Q46" s="67"/>
    </row>
    <row r="47" spans="1:17" ht="42.75">
      <c r="A47" s="420">
        <v>3</v>
      </c>
      <c r="B47" s="314" t="str">
        <f>IF($A47="","",VLOOKUP($A47,従事者明細!$A$3:$L$52,2,FALSE))</f>
        <v>阿部　一朗
（東京）</v>
      </c>
      <c r="C47" s="314" t="str">
        <f>IF($A47="","",VLOOKUP($A47,従事者明細!$A$3:$L$52,3,FALSE))</f>
        <v>チーフアドバイザー/開発課題2/市場調査</v>
      </c>
      <c r="D47" s="137">
        <f>IF($A47="","",VLOOKUP($A47,従事者明細!$A$3:$L$52,6,FALSE))</f>
        <v>2</v>
      </c>
      <c r="E47" s="314">
        <f>IF($A47="","",VLOOKUP($A47,従事者明細!$A$3:$L$52,10,FALSE))</f>
        <v>998000</v>
      </c>
      <c r="F47" s="315">
        <f>IF(I47="","",ROUND(I47/20,2))</f>
        <v>0.5</v>
      </c>
      <c r="G47" s="316">
        <f>IF(D47="","",E47*ROUND(F47,2))</f>
        <v>499000</v>
      </c>
      <c r="H47" s="317" t="str">
        <f>IF($A47="","",VLOOKUP($A47,従事者明細!$A$3:$F$52,4,FALSE))</f>
        <v>A-1</v>
      </c>
      <c r="I47" s="90">
        <v>10</v>
      </c>
      <c r="J47" s="411"/>
      <c r="K47" s="414"/>
      <c r="L47" s="490"/>
      <c r="M47" s="490"/>
      <c r="N47" s="490"/>
      <c r="O47" s="490"/>
      <c r="P47" s="490"/>
      <c r="Q47" s="490"/>
    </row>
    <row r="48" spans="1:17" ht="30" customHeight="1">
      <c r="A48" s="420">
        <v>4</v>
      </c>
      <c r="B48" s="314" t="str">
        <f>IF($A48="","",VLOOKUP($A48,従事者明細!$A$3:$L$52,2,FALSE))</f>
        <v>半沢　直樹
（東京）</v>
      </c>
      <c r="C48" s="314" t="str">
        <f>IF($A48="","",VLOOKUP($A48,従事者明細!$A$3:$L$52,3,FALSE))</f>
        <v>パートナー連携</v>
      </c>
      <c r="D48" s="137">
        <f>IF($A48="","",VLOOKUP($A48,従事者明細!$A$3:$L$52,6,FALSE))</f>
        <v>4</v>
      </c>
      <c r="E48" s="314">
        <f>IF($A48="","",VLOOKUP($A48,従事者明細!$A$3:$L$52,10,FALSE))</f>
        <v>732000</v>
      </c>
      <c r="F48" s="315">
        <f t="shared" ref="F48:F61" si="7">IF(I48="","",ROUND(I48/20,2))</f>
        <v>0.4</v>
      </c>
      <c r="G48" s="316">
        <f t="shared" ref="G48:G61" si="8">IF(D48="","",E48*ROUND(F48,2))</f>
        <v>292800</v>
      </c>
      <c r="H48" s="317" t="str">
        <f>IF($A48="","",VLOOKUP($A48,従事者明細!$A$3:$F$52,4,FALSE))</f>
        <v>A-1</v>
      </c>
      <c r="I48" s="90">
        <v>8</v>
      </c>
      <c r="J48" s="411"/>
      <c r="K48" s="430"/>
      <c r="L48" s="440"/>
      <c r="M48" s="441"/>
      <c r="N48" s="440"/>
      <c r="O48" s="438"/>
      <c r="P48" s="440"/>
      <c r="Q48" s="438"/>
    </row>
    <row r="49" spans="1:17" ht="30" customHeight="1">
      <c r="A49" s="420">
        <v>5</v>
      </c>
      <c r="B49" s="314" t="str">
        <f>IF($A49="","",VLOOKUP($A49,従事者明細!$A$3:$L$52,2,FALSE))</f>
        <v>鈴木　花子
（ハノイ）</v>
      </c>
      <c r="C49" s="314" t="str">
        <f>IF($A49="","",VLOOKUP($A49,従事者明細!$A$3:$L$52,3,FALSE))</f>
        <v>環境社会配慮調査</v>
      </c>
      <c r="D49" s="137">
        <f>IF($A49="","",VLOOKUP($A49,従事者明細!$A$3:$L$52,6,FALSE))</f>
        <v>5</v>
      </c>
      <c r="E49" s="314">
        <f>IF($A49="","",VLOOKUP($A49,従事者明細!$A$3:$L$52,10,FALSE))</f>
        <v>598000</v>
      </c>
      <c r="F49" s="315">
        <f t="shared" si="7"/>
        <v>1.5</v>
      </c>
      <c r="G49" s="316">
        <f t="shared" si="8"/>
        <v>897000</v>
      </c>
      <c r="H49" s="317" t="str">
        <f>IF($A49="","",VLOOKUP($A49,従事者明細!$A$3:$F$52,4,FALSE))</f>
        <v>B-1</v>
      </c>
      <c r="I49" s="90">
        <v>30</v>
      </c>
      <c r="J49" s="411"/>
      <c r="K49" s="430"/>
      <c r="L49" s="440"/>
      <c r="M49" s="441"/>
      <c r="N49" s="440"/>
      <c r="O49" s="438"/>
      <c r="P49" s="440"/>
      <c r="Q49" s="438"/>
    </row>
    <row r="50" spans="1:17" ht="30" customHeight="1">
      <c r="A50" s="420">
        <v>6</v>
      </c>
      <c r="B50" s="314" t="str">
        <f>IF($A50="","",VLOOKUP($A50,従事者明細!$A$3:$L$52,2,FALSE))</f>
        <v>国際　太郎
（埼玉）</v>
      </c>
      <c r="C50" s="314" t="str">
        <f>IF($A50="","",VLOOKUP($A50,従事者明細!$A$3:$L$52,3,FALSE))</f>
        <v>法制度調査</v>
      </c>
      <c r="D50" s="137">
        <f>IF($A50="","",VLOOKUP($A50,従事者明細!$A$3:$L$52,6,FALSE))</f>
        <v>3</v>
      </c>
      <c r="E50" s="314">
        <f>IF($A50="","",VLOOKUP($A50,従事者明細!$A$3:$L$52,10,FALSE))</f>
        <v>870000</v>
      </c>
      <c r="F50" s="315">
        <f t="shared" si="7"/>
        <v>0.25</v>
      </c>
      <c r="G50" s="316">
        <f t="shared" si="8"/>
        <v>217500</v>
      </c>
      <c r="H50" s="317" t="str">
        <f>IF($A50="","",VLOOKUP($A50,従事者明細!$A$3:$F$52,4,FALSE))</f>
        <v>C-1</v>
      </c>
      <c r="I50" s="90">
        <v>5</v>
      </c>
      <c r="J50" s="411"/>
      <c r="K50" s="430"/>
      <c r="L50" s="440"/>
      <c r="M50" s="441"/>
      <c r="N50" s="440"/>
      <c r="O50" s="438"/>
      <c r="P50" s="440"/>
      <c r="Q50" s="438"/>
    </row>
    <row r="51" spans="1:17" ht="30" customHeight="1">
      <c r="A51" s="420">
        <v>8</v>
      </c>
      <c r="B51" s="314" t="str">
        <f>IF($A51="","",VLOOKUP($A51,従事者明細!$A$3:$L$52,2,FALSE))</f>
        <v>石田　次郎
（長野）</v>
      </c>
      <c r="C51" s="314" t="str">
        <f>IF($A51="","",VLOOKUP($A51,従事者明細!$A$3:$L$52,3,FALSE))</f>
        <v>肥料設計/開発効果</v>
      </c>
      <c r="D51" s="137">
        <f>IF($A51="","",VLOOKUP($A51,従事者明細!$A$3:$L$52,6,FALSE))</f>
        <v>5</v>
      </c>
      <c r="E51" s="314">
        <f>IF($A51="","",VLOOKUP($A51,従事者明細!$A$3:$L$52,10,FALSE))</f>
        <v>598000</v>
      </c>
      <c r="F51" s="315">
        <f t="shared" si="7"/>
        <v>0.25</v>
      </c>
      <c r="G51" s="316">
        <f t="shared" si="8"/>
        <v>149500</v>
      </c>
      <c r="H51" s="317" t="str">
        <f>IF($A51="","",VLOOKUP($A51,従事者明細!$A$3:$F$52,4,FALSE))</f>
        <v>B-2</v>
      </c>
      <c r="I51" s="90">
        <v>5</v>
      </c>
      <c r="J51" s="411"/>
      <c r="K51" s="430"/>
      <c r="L51" s="440"/>
      <c r="M51" s="441"/>
      <c r="N51" s="440"/>
      <c r="O51" s="438"/>
      <c r="P51" s="440"/>
      <c r="Q51" s="438"/>
    </row>
    <row r="52" spans="1:17" ht="30" customHeight="1">
      <c r="A52" s="420">
        <v>9</v>
      </c>
      <c r="B52" s="314" t="str">
        <f>IF($A52="","",VLOOKUP($A52,従事者明細!$A$3:$L$52,2,FALSE))</f>
        <v>佐藤　次郎
（京都）</v>
      </c>
      <c r="C52" s="314" t="str">
        <f>IF($A52="","",VLOOKUP($A52,従事者明細!$A$3:$L$52,3,FALSE))</f>
        <v>システム設計</v>
      </c>
      <c r="D52" s="137">
        <f>IF($A52="","",VLOOKUP($A52,従事者明細!$A$3:$L$52,6,FALSE))</f>
        <v>4</v>
      </c>
      <c r="E52" s="314">
        <f>IF($A52="","",VLOOKUP($A52,従事者明細!$A$3:$L$52,10,FALSE))</f>
        <v>732000</v>
      </c>
      <c r="F52" s="315">
        <f t="shared" si="7"/>
        <v>0.35</v>
      </c>
      <c r="G52" s="316">
        <f t="shared" si="8"/>
        <v>256199.99999999997</v>
      </c>
      <c r="H52" s="317" t="str">
        <f>IF($A52="","",VLOOKUP($A52,従事者明細!$A$3:$F$52,4,FALSE))</f>
        <v>C-2</v>
      </c>
      <c r="I52" s="90">
        <v>7</v>
      </c>
      <c r="J52" s="411"/>
      <c r="K52" s="430"/>
      <c r="L52" s="440"/>
      <c r="M52" s="441"/>
      <c r="N52" s="440"/>
      <c r="O52" s="438"/>
      <c r="P52" s="440"/>
      <c r="Q52" s="438"/>
    </row>
    <row r="53" spans="1:17" ht="30" customHeight="1">
      <c r="A53" s="420">
        <v>10</v>
      </c>
      <c r="B53" s="314" t="str">
        <f>IF($A53="","",VLOOKUP($A53,従事者明細!$A$3:$L$52,2,FALSE))</f>
        <v>星　輝
（千葉）</v>
      </c>
      <c r="C53" s="314" t="str">
        <f>IF($A53="","",VLOOKUP($A53,従事者明細!$A$3:$L$52,3,FALSE))</f>
        <v>海外市場調査</v>
      </c>
      <c r="D53" s="137">
        <f>IF($A53="","",VLOOKUP($A53,従事者明細!$A$3:$L$52,6,FALSE))</f>
        <v>6</v>
      </c>
      <c r="E53" s="314">
        <f>IF($A53="","",VLOOKUP($A53,従事者明細!$A$3:$L$52,10,FALSE))</f>
        <v>502000</v>
      </c>
      <c r="F53" s="315">
        <f t="shared" si="7"/>
        <v>0.35</v>
      </c>
      <c r="G53" s="316">
        <f t="shared" si="8"/>
        <v>175700</v>
      </c>
      <c r="H53" s="317" t="str">
        <f>IF($A53="","",VLOOKUP($A53,従事者明細!$A$3:$F$52,4,FALSE))</f>
        <v>A-1</v>
      </c>
      <c r="I53" s="90">
        <v>7</v>
      </c>
      <c r="J53" s="411"/>
      <c r="K53" s="428"/>
      <c r="L53" s="435"/>
      <c r="M53" s="436"/>
      <c r="N53" s="437"/>
      <c r="O53" s="438"/>
      <c r="P53" s="439"/>
      <c r="Q53" s="438"/>
    </row>
    <row r="54" spans="1:17" ht="30" customHeight="1">
      <c r="A54" s="420"/>
      <c r="B54" s="314" t="str">
        <f>IF($A54="","",VLOOKUP($A54,従事者明細!$A$3:$L$52,2,FALSE))</f>
        <v/>
      </c>
      <c r="C54" s="314" t="str">
        <f>IF($A54="","",VLOOKUP($A54,従事者明細!$A$3:$L$52,3,FALSE))</f>
        <v/>
      </c>
      <c r="D54" s="137" t="str">
        <f>IF($A54="","",VLOOKUP($A54,従事者明細!$A$3:$L$52,6,FALSE))</f>
        <v/>
      </c>
      <c r="E54" s="314" t="str">
        <f>IF($A54="","",VLOOKUP($A54,従事者明細!$A$3:$L$52,10,FALSE))</f>
        <v/>
      </c>
      <c r="F54" s="315" t="str">
        <f t="shared" si="7"/>
        <v/>
      </c>
      <c r="G54" s="316" t="str">
        <f t="shared" si="8"/>
        <v/>
      </c>
      <c r="H54" s="317" t="str">
        <f>IF($A54="","",VLOOKUP($A54,従事者明細!$A$3:$F$52,4,FALSE))</f>
        <v/>
      </c>
      <c r="I54" s="90"/>
      <c r="J54" s="411"/>
      <c r="K54" s="428"/>
      <c r="L54" s="435"/>
      <c r="M54" s="436"/>
      <c r="N54" s="437"/>
      <c r="O54" s="438"/>
      <c r="P54" s="437"/>
      <c r="Q54" s="438"/>
    </row>
    <row r="55" spans="1:17" ht="30" hidden="1" customHeight="1">
      <c r="A55" s="420"/>
      <c r="B55" s="314" t="str">
        <f>IF($A55="","",VLOOKUP($A55,従事者明細!$A$3:$L$52,2,FALSE))</f>
        <v/>
      </c>
      <c r="C55" s="314" t="str">
        <f>IF($A55="","",VLOOKUP($A55,従事者明細!$A$3:$L$52,3,FALSE))</f>
        <v/>
      </c>
      <c r="D55" s="137" t="str">
        <f>IF($A55="","",VLOOKUP($A55,従事者明細!$A$3:$L$52,6,FALSE))</f>
        <v/>
      </c>
      <c r="E55" s="314" t="str">
        <f>IF($A55="","",VLOOKUP($A55,従事者明細!$A$3:$L$52,10,FALSE))</f>
        <v/>
      </c>
      <c r="F55" s="315" t="str">
        <f t="shared" si="7"/>
        <v/>
      </c>
      <c r="G55" s="316" t="str">
        <f t="shared" si="8"/>
        <v/>
      </c>
      <c r="H55" s="317" t="str">
        <f>IF($A55="","",VLOOKUP($A55,従事者明細!$A$3:$F$52,4,FALSE))</f>
        <v/>
      </c>
      <c r="I55" s="90"/>
      <c r="J55" s="411"/>
      <c r="K55" s="428"/>
      <c r="L55" s="429"/>
      <c r="M55" s="415"/>
      <c r="N55" s="416"/>
      <c r="O55" s="417"/>
      <c r="P55" s="416"/>
      <c r="Q55" s="417"/>
    </row>
    <row r="56" spans="1:17" ht="30" hidden="1" customHeight="1">
      <c r="A56" s="420"/>
      <c r="B56" s="314" t="str">
        <f>IF($A56="","",VLOOKUP($A56,従事者明細!$A$3:$L$52,2,FALSE))</f>
        <v/>
      </c>
      <c r="C56" s="314" t="str">
        <f>IF($A56="","",VLOOKUP($A56,従事者明細!$A$3:$L$52,3,FALSE))</f>
        <v/>
      </c>
      <c r="D56" s="137" t="str">
        <f>IF($A56="","",VLOOKUP($A56,従事者明細!$A$3:$L$52,6,FALSE))</f>
        <v/>
      </c>
      <c r="E56" s="314" t="str">
        <f>IF($A56="","",VLOOKUP($A56,従事者明細!$A$3:$L$52,10,FALSE))</f>
        <v/>
      </c>
      <c r="F56" s="315" t="str">
        <f t="shared" si="7"/>
        <v/>
      </c>
      <c r="G56" s="316" t="str">
        <f t="shared" si="8"/>
        <v/>
      </c>
      <c r="H56" s="317" t="str">
        <f>IF($A56="","",VLOOKUP($A56,従事者明細!$A$3:$F$52,4,FALSE))</f>
        <v/>
      </c>
      <c r="I56" s="90"/>
      <c r="J56" s="411"/>
      <c r="K56" s="428"/>
      <c r="L56" s="429"/>
      <c r="M56" s="415"/>
      <c r="N56" s="416"/>
      <c r="O56" s="417"/>
      <c r="P56" s="416"/>
      <c r="Q56" s="417"/>
    </row>
    <row r="57" spans="1:17" ht="30" hidden="1" customHeight="1">
      <c r="A57" s="420"/>
      <c r="B57" s="314" t="str">
        <f>IF($A57="","",VLOOKUP($A57,従事者明細!$A$3:$L$52,2,FALSE))</f>
        <v/>
      </c>
      <c r="C57" s="314" t="str">
        <f>IF($A57="","",VLOOKUP($A57,従事者明細!$A$3:$L$52,3,FALSE))</f>
        <v/>
      </c>
      <c r="D57" s="137" t="str">
        <f>IF($A57="","",VLOOKUP($A57,従事者明細!$A$3:$L$52,6,FALSE))</f>
        <v/>
      </c>
      <c r="E57" s="314" t="str">
        <f>IF($A57="","",VLOOKUP($A57,従事者明細!$A$3:$L$52,10,FALSE))</f>
        <v/>
      </c>
      <c r="F57" s="315" t="str">
        <f t="shared" si="7"/>
        <v/>
      </c>
      <c r="G57" s="316" t="str">
        <f t="shared" si="8"/>
        <v/>
      </c>
      <c r="H57" s="317" t="str">
        <f>IF($A57="","",VLOOKUP($A57,従事者明細!$A$3:$F$52,4,FALSE))</f>
        <v/>
      </c>
      <c r="I57" s="90"/>
      <c r="J57" s="411"/>
      <c r="K57" s="428"/>
      <c r="L57" s="429"/>
      <c r="M57" s="415"/>
      <c r="N57" s="416"/>
      <c r="O57" s="417"/>
      <c r="P57" s="416"/>
      <c r="Q57" s="417"/>
    </row>
    <row r="58" spans="1:17" ht="30" hidden="1" customHeight="1">
      <c r="A58" s="420"/>
      <c r="B58" s="314" t="str">
        <f>IF($A58="","",VLOOKUP($A58,従事者明細!$A$3:$L$52,2,FALSE))</f>
        <v/>
      </c>
      <c r="C58" s="314" t="str">
        <f>IF($A58="","",VLOOKUP($A58,従事者明細!$A$3:$L$52,3,FALSE))</f>
        <v/>
      </c>
      <c r="D58" s="137" t="str">
        <f>IF($A58="","",VLOOKUP($A58,従事者明細!$A$3:$L$52,6,FALSE))</f>
        <v/>
      </c>
      <c r="E58" s="314" t="str">
        <f>IF($A58="","",VLOOKUP($A58,従事者明細!$A$3:$L$52,10,FALSE))</f>
        <v/>
      </c>
      <c r="F58" s="315" t="str">
        <f t="shared" si="7"/>
        <v/>
      </c>
      <c r="G58" s="316" t="str">
        <f t="shared" si="8"/>
        <v/>
      </c>
      <c r="H58" s="317" t="str">
        <f>IF($A58="","",VLOOKUP($A58,従事者明細!$A$3:$F$52,4,FALSE))</f>
        <v/>
      </c>
      <c r="I58" s="90"/>
      <c r="J58" s="411"/>
      <c r="K58" s="428"/>
      <c r="L58" s="429"/>
      <c r="M58" s="415"/>
      <c r="N58" s="416"/>
      <c r="O58" s="417"/>
      <c r="P58" s="416"/>
      <c r="Q58" s="417"/>
    </row>
    <row r="59" spans="1:17" ht="30" hidden="1" customHeight="1">
      <c r="A59" s="420"/>
      <c r="B59" s="314" t="str">
        <f>IF($A59="","",VLOOKUP($A59,従事者明細!$A$3:$L$52,2,FALSE))</f>
        <v/>
      </c>
      <c r="C59" s="314" t="str">
        <f>IF($A59="","",VLOOKUP($A59,従事者明細!$A$3:$L$52,3,FALSE))</f>
        <v/>
      </c>
      <c r="D59" s="137" t="str">
        <f>IF($A59="","",VLOOKUP($A59,従事者明細!$A$3:$L$52,6,FALSE))</f>
        <v/>
      </c>
      <c r="E59" s="314" t="str">
        <f>IF($A59="","",VLOOKUP($A59,従事者明細!$A$3:$L$52,10,FALSE))</f>
        <v/>
      </c>
      <c r="F59" s="315" t="str">
        <f t="shared" si="7"/>
        <v/>
      </c>
      <c r="G59" s="316" t="str">
        <f t="shared" si="8"/>
        <v/>
      </c>
      <c r="H59" s="317" t="str">
        <f>IF($A59="","",VLOOKUP($A59,従事者明細!$A$3:$F$52,4,FALSE))</f>
        <v/>
      </c>
      <c r="I59" s="90"/>
      <c r="J59" s="411"/>
      <c r="K59" s="428"/>
      <c r="L59" s="429"/>
      <c r="M59" s="415"/>
      <c r="N59" s="416"/>
      <c r="O59" s="417"/>
      <c r="P59" s="416"/>
      <c r="Q59" s="417"/>
    </row>
    <row r="60" spans="1:17" ht="30" hidden="1" customHeight="1">
      <c r="A60" s="420"/>
      <c r="B60" s="314" t="str">
        <f>IF($A60="","",VLOOKUP($A60,従事者明細!$A$3:$L$52,2,FALSE))</f>
        <v/>
      </c>
      <c r="C60" s="314" t="str">
        <f>IF($A60="","",VLOOKUP($A60,従事者明細!$A$3:$L$52,3,FALSE))</f>
        <v/>
      </c>
      <c r="D60" s="137" t="str">
        <f>IF($A60="","",VLOOKUP($A60,従事者明細!$A$3:$L$52,6,FALSE))</f>
        <v/>
      </c>
      <c r="E60" s="314" t="str">
        <f>IF($A60="","",VLOOKUP($A60,従事者明細!$A$3:$L$52,10,FALSE))</f>
        <v/>
      </c>
      <c r="F60" s="315" t="str">
        <f t="shared" si="7"/>
        <v/>
      </c>
      <c r="G60" s="316" t="str">
        <f t="shared" si="8"/>
        <v/>
      </c>
      <c r="H60" s="317" t="str">
        <f>IF($A60="","",VLOOKUP($A60,従事者明細!$A$3:$F$52,4,FALSE))</f>
        <v/>
      </c>
      <c r="I60" s="90"/>
      <c r="J60" s="411"/>
      <c r="K60" s="428"/>
      <c r="L60" s="429"/>
      <c r="M60" s="415"/>
      <c r="N60" s="416"/>
      <c r="O60" s="417"/>
      <c r="P60" s="416"/>
      <c r="Q60" s="417"/>
    </row>
    <row r="61" spans="1:17" ht="30" customHeight="1" thickBot="1">
      <c r="A61" s="420"/>
      <c r="B61" s="314" t="str">
        <f>IF($A61="","",VLOOKUP($A61,従事者明細!$A$3:$L$52,2,FALSE))</f>
        <v/>
      </c>
      <c r="C61" s="314" t="str">
        <f>IF($A61="","",VLOOKUP($A61,従事者明細!$A$3:$L$52,3,FALSE))</f>
        <v/>
      </c>
      <c r="D61" s="137" t="str">
        <f>IF($A61="","",VLOOKUP($A61,従事者明細!$A$3:$L$52,6,FALSE))</f>
        <v/>
      </c>
      <c r="E61" s="314" t="str">
        <f>IF($A61="","",VLOOKUP($A61,従事者明細!$A$3:$L$52,10,FALSE))</f>
        <v/>
      </c>
      <c r="F61" s="315" t="str">
        <f t="shared" si="7"/>
        <v/>
      </c>
      <c r="G61" s="316" t="str">
        <f t="shared" si="8"/>
        <v/>
      </c>
      <c r="H61" s="317" t="str">
        <f>IF($A61="","",VLOOKUP($A61,従事者明細!$A$3:$F$52,4,FALSE))</f>
        <v/>
      </c>
      <c r="I61" s="357"/>
      <c r="J61" s="411"/>
      <c r="K61" s="428"/>
      <c r="L61" s="429"/>
      <c r="M61" s="415"/>
      <c r="N61" s="416"/>
      <c r="O61" s="417"/>
      <c r="P61" s="416"/>
      <c r="Q61" s="417"/>
    </row>
    <row r="62" spans="1:17" ht="30" customHeight="1" thickBot="1">
      <c r="E62" s="86" t="s">
        <v>220</v>
      </c>
      <c r="F62" s="445">
        <f>SUM(F47:F61)</f>
        <v>3.6</v>
      </c>
      <c r="G62" s="87">
        <f>SUM(G47:G61)</f>
        <v>2487700</v>
      </c>
      <c r="I62" s="358">
        <f>SUM(I47:I61)</f>
        <v>72</v>
      </c>
      <c r="J62" s="96"/>
      <c r="K62" s="428"/>
      <c r="L62" s="429"/>
      <c r="M62" s="415"/>
      <c r="N62" s="416"/>
      <c r="O62" s="417"/>
      <c r="P62" s="416"/>
      <c r="Q62" s="417"/>
    </row>
    <row r="63" spans="1:17" ht="15.75" customHeight="1" thickBot="1">
      <c r="B63" s="88"/>
      <c r="C63" s="88"/>
      <c r="F63" s="86"/>
      <c r="G63" s="168"/>
      <c r="H63" s="98"/>
      <c r="J63" s="98"/>
      <c r="K63" s="428"/>
      <c r="L63" s="429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9" t="s">
        <v>131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265</v>
      </c>
      <c r="G65" s="316">
        <f>SUMIF($H$47:$H$61,"A-1",$G$47:$G$61)</f>
        <v>967500</v>
      </c>
      <c r="H65" s="167">
        <f>G29+G65</f>
        <v>2863160</v>
      </c>
      <c r="I65" s="319"/>
      <c r="J65" s="319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266</v>
      </c>
      <c r="G66" s="316">
        <f>SUMIF($H$47:$H$61,"A-2",$G$47:$G$61)</f>
        <v>0</v>
      </c>
      <c r="H66" s="167">
        <f>G30+G66</f>
        <v>0</v>
      </c>
      <c r="I66" s="319"/>
      <c r="J66" s="319"/>
    </row>
    <row r="67" spans="2:17" ht="15" hidden="1" customHeight="1">
      <c r="B67" s="89"/>
      <c r="C67" s="89"/>
      <c r="F67" s="120" t="s">
        <v>287</v>
      </c>
      <c r="G67" s="316">
        <f>SUMIF($H$47:$H$61,"A-3",$G$47:$G$61)</f>
        <v>0</v>
      </c>
      <c r="H67" s="167">
        <f>G31+G67</f>
        <v>0</v>
      </c>
      <c r="I67" s="319"/>
      <c r="J67" s="319"/>
    </row>
    <row r="68" spans="2:17" ht="15" hidden="1" customHeight="1">
      <c r="B68" s="89"/>
      <c r="C68" s="89"/>
      <c r="F68" s="413" t="s">
        <v>288</v>
      </c>
      <c r="G68" s="316">
        <f>SUMIF($H$47:$H$61,"A-4",$G$47:$G$61)</f>
        <v>0</v>
      </c>
      <c r="H68" s="167">
        <f t="shared" ref="H68:H79" si="9">G32+G68</f>
        <v>0</v>
      </c>
      <c r="I68" s="319"/>
      <c r="J68" s="319"/>
    </row>
    <row r="69" spans="2:17" ht="15" hidden="1" customHeight="1">
      <c r="B69" s="89"/>
      <c r="C69" s="89"/>
      <c r="F69" s="413" t="s">
        <v>289</v>
      </c>
      <c r="G69" s="316">
        <f>SUMIF($H$47:$H$61,"A-5",$G$47:$G$61)</f>
        <v>0</v>
      </c>
      <c r="H69" s="167">
        <f t="shared" si="9"/>
        <v>0</v>
      </c>
      <c r="I69" s="319"/>
      <c r="J69" s="319"/>
    </row>
    <row r="70" spans="2:17" ht="15" hidden="1" customHeight="1">
      <c r="B70" s="89"/>
      <c r="C70" s="89"/>
      <c r="F70" s="413" t="s">
        <v>271</v>
      </c>
      <c r="G70" s="316">
        <f>SUMIF($H$47:$H$61,"B-1",$G$47:$G$61)</f>
        <v>897000</v>
      </c>
      <c r="H70" s="167">
        <f t="shared" si="9"/>
        <v>1094340</v>
      </c>
      <c r="I70" s="319"/>
      <c r="J70" s="319"/>
    </row>
    <row r="71" spans="2:17" ht="15" hidden="1" customHeight="1">
      <c r="B71" s="89"/>
      <c r="C71" s="89"/>
      <c r="F71" s="413" t="s">
        <v>272</v>
      </c>
      <c r="G71" s="316">
        <f>SUMIF($H$47:$H$61,"B-2",$G$47:$G$61)</f>
        <v>149500</v>
      </c>
      <c r="H71" s="167">
        <f t="shared" si="9"/>
        <v>346840</v>
      </c>
      <c r="I71" s="319"/>
      <c r="J71" s="319"/>
    </row>
    <row r="72" spans="2:17" ht="15" hidden="1" customHeight="1">
      <c r="B72" s="89"/>
      <c r="C72" s="89"/>
      <c r="F72" s="413" t="s">
        <v>285</v>
      </c>
      <c r="G72" s="316">
        <f>SUMIF($H$47:$H$61,"B-3",$G$47:$G$61)</f>
        <v>0</v>
      </c>
      <c r="H72" s="167">
        <f t="shared" si="9"/>
        <v>0</v>
      </c>
      <c r="I72" s="319"/>
      <c r="J72" s="319"/>
    </row>
    <row r="73" spans="2:17" ht="15" hidden="1" customHeight="1">
      <c r="B73" s="89"/>
      <c r="C73" s="89"/>
      <c r="F73" s="413" t="s">
        <v>290</v>
      </c>
      <c r="G73" s="316">
        <f>SUMIF($H$47:$H$61,"B-4",$G$47:$G$61)</f>
        <v>0</v>
      </c>
      <c r="H73" s="167">
        <f t="shared" si="9"/>
        <v>0</v>
      </c>
      <c r="I73" s="319"/>
      <c r="J73" s="319"/>
    </row>
    <row r="74" spans="2:17" ht="15" hidden="1" customHeight="1">
      <c r="B74" s="89"/>
      <c r="C74" s="89"/>
      <c r="F74" s="413" t="s">
        <v>291</v>
      </c>
      <c r="G74" s="316">
        <f>SUMIF($H$47:$H$61,"B-5",$G$47:$G$61)</f>
        <v>0</v>
      </c>
      <c r="H74" s="167">
        <f t="shared" si="9"/>
        <v>0</v>
      </c>
      <c r="I74" s="319"/>
      <c r="J74" s="319"/>
    </row>
    <row r="75" spans="2:17" ht="15" hidden="1" customHeight="1">
      <c r="B75" s="89"/>
      <c r="C75" s="89"/>
      <c r="F75" s="413" t="s">
        <v>276</v>
      </c>
      <c r="G75" s="316">
        <f>SUMIF($H$47:$H$61,"C-1",$G$47:$G$61)</f>
        <v>217500</v>
      </c>
      <c r="H75" s="167">
        <f t="shared" si="9"/>
        <v>1174500</v>
      </c>
      <c r="I75" s="319"/>
      <c r="J75" s="319"/>
    </row>
    <row r="76" spans="2:17" ht="15" hidden="1" customHeight="1">
      <c r="B76" s="89"/>
      <c r="C76" s="89"/>
      <c r="F76" s="413" t="s">
        <v>277</v>
      </c>
      <c r="G76" s="316">
        <f>SUMIF($H$47:$H$61,"C-2",$G$47:$G$61)</f>
        <v>256199.99999999997</v>
      </c>
      <c r="H76" s="167">
        <f t="shared" si="9"/>
        <v>622200</v>
      </c>
      <c r="I76" s="319"/>
      <c r="J76" s="319"/>
    </row>
    <row r="77" spans="2:17" ht="15" hidden="1" customHeight="1">
      <c r="B77" s="89"/>
      <c r="C77" s="89"/>
      <c r="F77" s="413" t="s">
        <v>292</v>
      </c>
      <c r="G77" s="316">
        <f>SUMIF($H$47:$H$61,"C-3",$G$47:$G$61)</f>
        <v>0</v>
      </c>
      <c r="H77" s="167">
        <f t="shared" si="9"/>
        <v>0</v>
      </c>
      <c r="I77" s="319"/>
      <c r="J77" s="319"/>
    </row>
    <row r="78" spans="2:17" ht="15" hidden="1" customHeight="1">
      <c r="B78" s="89"/>
      <c r="C78" s="89"/>
      <c r="F78" s="413" t="s">
        <v>293</v>
      </c>
      <c r="G78" s="316">
        <f>SUMIF($H$47:$H$61,"C-4",$G$47:$G$61)</f>
        <v>0</v>
      </c>
      <c r="H78" s="167">
        <f t="shared" si="9"/>
        <v>0</v>
      </c>
      <c r="I78" s="319"/>
      <c r="J78" s="319"/>
    </row>
    <row r="79" spans="2:17" ht="15" hidden="1" customHeight="1">
      <c r="B79" s="89"/>
      <c r="C79" s="89"/>
      <c r="F79" s="413" t="s">
        <v>294</v>
      </c>
      <c r="G79" s="316">
        <f>SUMIF($H$47:$H$61,"C-5",$G$47:$G$61)</f>
        <v>0</v>
      </c>
      <c r="H79" s="167">
        <f t="shared" si="9"/>
        <v>0</v>
      </c>
      <c r="I79" s="319"/>
      <c r="J79" s="319"/>
    </row>
    <row r="80" spans="2:17" ht="15" hidden="1" customHeight="1">
      <c r="B80" s="89"/>
      <c r="C80" s="89"/>
      <c r="F80" s="120" t="s">
        <v>295</v>
      </c>
      <c r="G80" s="320">
        <f>SUM(G65:G79)</f>
        <v>2487700</v>
      </c>
      <c r="H80" s="316">
        <f>SUM(H65:H79)</f>
        <v>6101040</v>
      </c>
      <c r="I80" s="319"/>
      <c r="J80" s="319"/>
    </row>
    <row r="81" spans="1:7" ht="15" hidden="1" thickBot="1"/>
    <row r="82" spans="1:7" ht="30" customHeight="1" thickBot="1">
      <c r="A82" s="321"/>
      <c r="B82" s="81" t="s">
        <v>152</v>
      </c>
      <c r="C82" s="321"/>
      <c r="D82" s="434"/>
      <c r="E82" s="20"/>
      <c r="F82" s="187" t="s">
        <v>36</v>
      </c>
      <c r="G82" s="446" t="s">
        <v>370</v>
      </c>
    </row>
    <row r="83" spans="1:7" ht="30" customHeight="1">
      <c r="A83" s="321"/>
      <c r="B83" s="321"/>
      <c r="C83" s="321"/>
      <c r="D83" s="443"/>
      <c r="E83" s="188" t="s">
        <v>153</v>
      </c>
      <c r="F83" s="189">
        <f>SUM(F27+F62)</f>
        <v>8.19</v>
      </c>
      <c r="G83" s="190">
        <f>SUM(G27+G62)</f>
        <v>6101040</v>
      </c>
    </row>
    <row r="84" spans="1:7" ht="30" customHeight="1" thickBot="1">
      <c r="A84" s="321"/>
      <c r="B84" s="321"/>
      <c r="C84" s="321"/>
      <c r="D84" s="444"/>
      <c r="E84" s="191" t="s">
        <v>132</v>
      </c>
      <c r="F84" s="192"/>
      <c r="G84" s="193">
        <f>ROUNDDOWN(G83,-3)</f>
        <v>6101000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K26" sqref="K26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496"/>
      <c r="B1" s="496"/>
      <c r="C1" s="496"/>
      <c r="D1" s="496"/>
      <c r="E1" s="496"/>
      <c r="F1" s="496"/>
      <c r="G1" s="496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10255000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7"/>
      <c r="G4" s="287"/>
    </row>
    <row r="5" spans="1:8" ht="20.100000000000001" customHeight="1" thickBot="1">
      <c r="A5" s="71" t="s">
        <v>2</v>
      </c>
      <c r="B5" s="40" t="s">
        <v>168</v>
      </c>
      <c r="C5" s="38"/>
      <c r="D5" s="93"/>
      <c r="E5" s="128">
        <f>F40</f>
        <v>2650000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210</v>
      </c>
      <c r="B7" s="42"/>
      <c r="C7" s="42"/>
      <c r="D7" s="54">
        <f>F22</f>
        <v>2250000</v>
      </c>
      <c r="E7" s="41" t="s">
        <v>11</v>
      </c>
      <c r="F7" s="41"/>
      <c r="G7" s="41"/>
    </row>
    <row r="8" spans="1:8" s="19" customFormat="1" ht="21" customHeight="1">
      <c r="A8" s="497" t="s">
        <v>230</v>
      </c>
      <c r="B8" s="498"/>
      <c r="C8" s="499"/>
      <c r="D8" s="210" t="s">
        <v>172</v>
      </c>
      <c r="E8" s="210" t="s">
        <v>231</v>
      </c>
      <c r="F8" s="210" t="s">
        <v>173</v>
      </c>
      <c r="G8" s="211" t="s">
        <v>235</v>
      </c>
      <c r="H8" s="245" t="s">
        <v>171</v>
      </c>
    </row>
    <row r="9" spans="1:8" s="19" customFormat="1" ht="26.25" customHeight="1">
      <c r="A9" s="515" t="s">
        <v>66</v>
      </c>
      <c r="B9" s="518"/>
      <c r="C9" s="519"/>
      <c r="D9" s="212"/>
      <c r="E9" s="212"/>
      <c r="F9" s="118">
        <f>'機材様式（別紙明細）'!C4</f>
        <v>1900000</v>
      </c>
      <c r="G9" s="223" t="s">
        <v>207</v>
      </c>
      <c r="H9" s="260"/>
    </row>
    <row r="10" spans="1:8" s="19" customFormat="1" ht="26.25" customHeight="1">
      <c r="A10" s="516"/>
      <c r="B10" s="520"/>
      <c r="C10" s="505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17"/>
      <c r="B11" s="520"/>
      <c r="C11" s="505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06" t="s">
        <v>232</v>
      </c>
      <c r="B12" s="507"/>
      <c r="C12" s="507"/>
      <c r="D12" s="507"/>
      <c r="E12" s="508"/>
      <c r="F12" s="454">
        <f>SUM(F9:F11)</f>
        <v>1900000</v>
      </c>
      <c r="G12" s="224"/>
      <c r="H12" s="260"/>
    </row>
    <row r="13" spans="1:8" s="19" customFormat="1" ht="26.25" customHeight="1">
      <c r="A13" s="515" t="s">
        <v>67</v>
      </c>
      <c r="B13" s="509"/>
      <c r="C13" s="510"/>
      <c r="D13" s="212"/>
      <c r="E13" s="212"/>
      <c r="F13" s="452">
        <f>'機材様式（別紙明細）'!C16</f>
        <v>200000</v>
      </c>
      <c r="G13" s="225" t="s">
        <v>208</v>
      </c>
      <c r="H13" s="260"/>
    </row>
    <row r="14" spans="1:8" s="19" customFormat="1" ht="26.25" customHeight="1">
      <c r="A14" s="521"/>
      <c r="B14" s="509"/>
      <c r="C14" s="510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522"/>
      <c r="B15" s="509"/>
      <c r="C15" s="510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06" t="s">
        <v>232</v>
      </c>
      <c r="B16" s="507"/>
      <c r="C16" s="507"/>
      <c r="D16" s="507"/>
      <c r="E16" s="508"/>
      <c r="F16" s="454">
        <f>SUM(F13:F15)</f>
        <v>200000</v>
      </c>
      <c r="G16" s="226"/>
      <c r="H16" s="260"/>
    </row>
    <row r="17" spans="1:8" s="19" customFormat="1" ht="26.25" customHeight="1">
      <c r="A17" s="511" t="s">
        <v>63</v>
      </c>
      <c r="B17" s="509"/>
      <c r="C17" s="510"/>
      <c r="D17" s="212"/>
      <c r="E17" s="212"/>
      <c r="F17" s="453">
        <f>'機材様式（別紙明細）'!C24</f>
        <v>150000</v>
      </c>
      <c r="G17" s="226" t="s">
        <v>209</v>
      </c>
      <c r="H17" s="260"/>
    </row>
    <row r="18" spans="1:8" s="19" customFormat="1" ht="26.25" customHeight="1">
      <c r="A18" s="512"/>
      <c r="B18" s="509"/>
      <c r="C18" s="510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12"/>
      <c r="B19" s="523"/>
      <c r="C19" s="524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503" t="s">
        <v>232</v>
      </c>
      <c r="B20" s="504"/>
      <c r="C20" s="504"/>
      <c r="D20" s="504"/>
      <c r="E20" s="505"/>
      <c r="F20" s="454">
        <f>SUM(F17:F19)</f>
        <v>150000</v>
      </c>
      <c r="G20" s="219"/>
    </row>
    <row r="21" spans="1:8" s="19" customFormat="1" ht="27" customHeight="1" thickBot="1">
      <c r="A21" s="513" t="s">
        <v>233</v>
      </c>
      <c r="B21" s="514"/>
      <c r="C21" s="514"/>
      <c r="D21" s="514"/>
      <c r="E21" s="514"/>
      <c r="F21" s="55">
        <f>F12+F16+F20</f>
        <v>2250000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6">
        <f>ROUNDDOWN(F21,-3)</f>
        <v>2250000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211</v>
      </c>
      <c r="B24" s="47"/>
      <c r="C24" s="47"/>
      <c r="D24" s="54">
        <f>F30</f>
        <v>100000</v>
      </c>
      <c r="E24" s="41" t="s">
        <v>11</v>
      </c>
      <c r="F24" s="41"/>
      <c r="G24" s="41"/>
    </row>
    <row r="25" spans="1:8" s="19" customFormat="1" ht="20.25" customHeight="1">
      <c r="A25" s="497" t="s">
        <v>230</v>
      </c>
      <c r="B25" s="498"/>
      <c r="C25" s="499"/>
      <c r="D25" s="210" t="s">
        <v>172</v>
      </c>
      <c r="E25" s="210" t="s">
        <v>231</v>
      </c>
      <c r="F25" s="210" t="s">
        <v>173</v>
      </c>
      <c r="G25" s="211" t="s">
        <v>235</v>
      </c>
      <c r="H25" s="245" t="s">
        <v>171</v>
      </c>
    </row>
    <row r="26" spans="1:8" s="19" customFormat="1" ht="27" customHeight="1">
      <c r="A26" s="525" t="s">
        <v>329</v>
      </c>
      <c r="B26" s="526"/>
      <c r="C26" s="527"/>
      <c r="D26" s="124">
        <v>100000</v>
      </c>
      <c r="E26" s="57">
        <v>1</v>
      </c>
      <c r="F26" s="118">
        <f>D26*E26</f>
        <v>100000</v>
      </c>
      <c r="G26" s="59" t="s">
        <v>330</v>
      </c>
      <c r="H26" s="260"/>
    </row>
    <row r="27" spans="1:8" s="19" customFormat="1" ht="27" customHeight="1">
      <c r="A27" s="525"/>
      <c r="B27" s="526"/>
      <c r="C27" s="527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25"/>
      <c r="B28" s="526"/>
      <c r="C28" s="527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500" t="s">
        <v>234</v>
      </c>
      <c r="B29" s="501"/>
      <c r="C29" s="501"/>
      <c r="D29" s="501"/>
      <c r="E29" s="502"/>
      <c r="F29" s="55">
        <f>SUM(F26:F28)</f>
        <v>100000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6">
        <f>ROUNDDOWN(F29,-3)</f>
        <v>100000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212</v>
      </c>
      <c r="B32" s="72"/>
      <c r="C32" s="47"/>
      <c r="D32" s="54">
        <f>F38</f>
        <v>300000</v>
      </c>
      <c r="E32" s="41" t="s">
        <v>11</v>
      </c>
      <c r="F32" s="41"/>
      <c r="G32" s="41"/>
    </row>
    <row r="33" spans="1:8" s="19" customFormat="1" ht="20.25" customHeight="1">
      <c r="A33" s="497" t="s">
        <v>230</v>
      </c>
      <c r="B33" s="498"/>
      <c r="C33" s="499"/>
      <c r="D33" s="210" t="s">
        <v>172</v>
      </c>
      <c r="E33" s="210" t="s">
        <v>231</v>
      </c>
      <c r="F33" s="210" t="s">
        <v>173</v>
      </c>
      <c r="G33" s="211" t="s">
        <v>235</v>
      </c>
      <c r="H33" s="245" t="s">
        <v>171</v>
      </c>
    </row>
    <row r="34" spans="1:8" ht="29.25" customHeight="1">
      <c r="A34" s="525" t="s">
        <v>331</v>
      </c>
      <c r="B34" s="526"/>
      <c r="C34" s="527"/>
      <c r="D34" s="124">
        <v>200000</v>
      </c>
      <c r="E34" s="63">
        <v>1</v>
      </c>
      <c r="F34" s="118">
        <f>D34*E34</f>
        <v>200000</v>
      </c>
      <c r="G34" s="64" t="s">
        <v>333</v>
      </c>
      <c r="H34" s="85"/>
    </row>
    <row r="35" spans="1:8" ht="29.25" customHeight="1">
      <c r="A35" s="525" t="s">
        <v>332</v>
      </c>
      <c r="B35" s="526"/>
      <c r="C35" s="527"/>
      <c r="D35" s="124">
        <v>100000</v>
      </c>
      <c r="E35" s="63">
        <v>1</v>
      </c>
      <c r="F35" s="118">
        <f>D35*E35</f>
        <v>100000</v>
      </c>
      <c r="G35" s="64" t="s">
        <v>334</v>
      </c>
      <c r="H35" s="85"/>
    </row>
    <row r="36" spans="1:8" ht="29.25" customHeight="1">
      <c r="A36" s="525"/>
      <c r="B36" s="526"/>
      <c r="C36" s="527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500" t="s">
        <v>234</v>
      </c>
      <c r="B37" s="501"/>
      <c r="C37" s="501"/>
      <c r="D37" s="501"/>
      <c r="E37" s="502"/>
      <c r="F37" s="55">
        <f>SUM(F34:F36)</f>
        <v>300000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6">
        <f>ROUNDDOWN(F37,-3)</f>
        <v>300000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259</v>
      </c>
      <c r="B40" s="47"/>
      <c r="C40" s="41"/>
      <c r="E40" s="105"/>
      <c r="F40" s="264">
        <f>D7+D24+D32</f>
        <v>2650000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Y13" sqref="Y13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165</v>
      </c>
      <c r="AB1" s="222" t="s">
        <v>166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40" t="s">
        <v>71</v>
      </c>
      <c r="E4" s="7"/>
      <c r="F4" s="538">
        <f>E43</f>
        <v>1997000</v>
      </c>
      <c r="G4" s="538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40"/>
      <c r="C5" s="340"/>
      <c r="D5" s="340"/>
      <c r="E5" s="340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43" t="s">
        <v>167</v>
      </c>
      <c r="C6" s="543"/>
      <c r="D6" s="543"/>
      <c r="E6" s="543"/>
      <c r="F6" s="538">
        <f>V43</f>
        <v>3214000</v>
      </c>
      <c r="G6" s="538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3" t="s">
        <v>81</v>
      </c>
      <c r="C8" s="84" t="s">
        <v>82</v>
      </c>
      <c r="D8" s="8" t="s">
        <v>246</v>
      </c>
      <c r="E8" s="8" t="s">
        <v>19</v>
      </c>
      <c r="F8" s="8" t="s">
        <v>136</v>
      </c>
      <c r="G8" s="8" t="s">
        <v>42</v>
      </c>
      <c r="H8" s="9"/>
      <c r="I8" s="540" t="s">
        <v>12</v>
      </c>
      <c r="J8" s="541"/>
      <c r="K8" s="541"/>
      <c r="L8" s="541"/>
      <c r="M8" s="541"/>
      <c r="N8" s="542"/>
      <c r="O8" s="540" t="s">
        <v>13</v>
      </c>
      <c r="P8" s="541"/>
      <c r="Q8" s="541"/>
      <c r="R8" s="541"/>
      <c r="S8" s="541"/>
      <c r="T8" s="542"/>
      <c r="U8" s="8" t="s">
        <v>59</v>
      </c>
      <c r="V8" s="8" t="s">
        <v>18</v>
      </c>
    </row>
    <row r="9" spans="1:28" ht="30" customHeight="1">
      <c r="A9" s="421">
        <v>1</v>
      </c>
      <c r="B9" s="171" t="str">
        <f>IF($A9="","",VLOOKUP($A9,従事者明細!$A$3:$F$52,2))</f>
        <v>田中　正樹
（大阪）</v>
      </c>
      <c r="C9" s="122" t="str">
        <f>IF($A9="","",VLOOKUP($A9,従事者明細!$A$3:$F$52,3))</f>
        <v>業務主任/事業計画策定</v>
      </c>
      <c r="D9" s="2">
        <v>15</v>
      </c>
      <c r="E9" s="185">
        <f t="shared" ref="E9:E41" si="0">IF($F9="","",VLOOKUP($F9,$D$46:$F$51,2))</f>
        <v>224815</v>
      </c>
      <c r="F9" s="194">
        <v>2</v>
      </c>
      <c r="G9" s="329" t="str">
        <f t="shared" ref="G9:G22" si="1">IF($F9="","",VLOOKUP($F9,$D$46:$F$51,3))</f>
        <v>C</v>
      </c>
      <c r="H9" s="10"/>
      <c r="I9" s="227">
        <v>3800</v>
      </c>
      <c r="J9" s="11" t="s">
        <v>14</v>
      </c>
      <c r="K9" s="228">
        <f>IF(D9="","",D9)</f>
        <v>15</v>
      </c>
      <c r="L9" s="11" t="s">
        <v>15</v>
      </c>
      <c r="M9" s="11" t="s">
        <v>16</v>
      </c>
      <c r="N9" s="288">
        <f>IF(K9="","",SUM(I9*K9))</f>
        <v>57000</v>
      </c>
      <c r="O9" s="263">
        <f>IF(I9=3800,11600,IF(I9=3420,10440,9280))</f>
        <v>11600</v>
      </c>
      <c r="P9" s="11" t="s">
        <v>14</v>
      </c>
      <c r="Q9" s="228">
        <f>IF(K9="","",K9-2)</f>
        <v>13</v>
      </c>
      <c r="R9" s="11" t="s">
        <v>17</v>
      </c>
      <c r="S9" s="11" t="s">
        <v>16</v>
      </c>
      <c r="T9" s="288">
        <f>IF(Q9="","",SUM(O9*Q9))</f>
        <v>150800</v>
      </c>
      <c r="U9" s="17">
        <v>2200</v>
      </c>
      <c r="V9" s="289">
        <f>IF(D9="","",SUM(N9+T9+U9))</f>
        <v>210000</v>
      </c>
      <c r="X9" s="6" t="s">
        <v>41</v>
      </c>
    </row>
    <row r="10" spans="1:28" ht="30" customHeight="1">
      <c r="A10" s="421">
        <v>1</v>
      </c>
      <c r="B10" s="171" t="str">
        <f>IF($A10="","",VLOOKUP($A10,従事者明細!$A$3:$F$52,2))</f>
        <v>田中　正樹
（大阪）</v>
      </c>
      <c r="C10" s="122" t="str">
        <f>IF($A10="","",VLOOKUP($A10,従事者明細!$A$3:$F$52,3))</f>
        <v>業務主任/事業計画策定</v>
      </c>
      <c r="D10" s="2">
        <v>15</v>
      </c>
      <c r="E10" s="185">
        <f t="shared" si="0"/>
        <v>224815</v>
      </c>
      <c r="F10" s="194">
        <v>2</v>
      </c>
      <c r="G10" s="329" t="str">
        <f t="shared" si="1"/>
        <v>C</v>
      </c>
      <c r="H10" s="7"/>
      <c r="I10" s="227">
        <v>3800</v>
      </c>
      <c r="J10" s="11" t="s">
        <v>14</v>
      </c>
      <c r="K10" s="228">
        <f t="shared" ref="K10:K41" si="2">IF(D10="","",D10)</f>
        <v>15</v>
      </c>
      <c r="L10" s="11" t="s">
        <v>15</v>
      </c>
      <c r="M10" s="11" t="s">
        <v>16</v>
      </c>
      <c r="N10" s="288">
        <f t="shared" ref="N10:N41" si="3">IF(K10="","",SUM(I10*K10))</f>
        <v>57000</v>
      </c>
      <c r="O10" s="263">
        <f t="shared" ref="O10:O41" si="4">IF(I10=3800,11600,IF(I10=3420,10440,9280))</f>
        <v>11600</v>
      </c>
      <c r="P10" s="11" t="s">
        <v>14</v>
      </c>
      <c r="Q10" s="228">
        <f t="shared" ref="Q10:Q41" si="5">IF(K10="","",K10-2)</f>
        <v>13</v>
      </c>
      <c r="R10" s="11" t="s">
        <v>17</v>
      </c>
      <c r="S10" s="11" t="s">
        <v>16</v>
      </c>
      <c r="T10" s="288">
        <f t="shared" ref="T10:T41" si="6">IF(Q10="","",SUM(O10*Q10))</f>
        <v>150800</v>
      </c>
      <c r="U10" s="17">
        <v>2200</v>
      </c>
      <c r="V10" s="289">
        <f t="shared" ref="V10:V41" si="7">IF(D10="","",SUM(N10+T10+U10))</f>
        <v>210000</v>
      </c>
      <c r="X10" s="6" t="s">
        <v>43</v>
      </c>
    </row>
    <row r="11" spans="1:28" ht="30" customHeight="1">
      <c r="A11" s="421">
        <v>2</v>
      </c>
      <c r="B11" s="171" t="str">
        <f>IF($A11="","",VLOOKUP($A11,従事者明細!$A$3:$F$52,2))</f>
        <v>本田　慶介
（大阪）</v>
      </c>
      <c r="C11" s="122" t="str">
        <f>IF($A11="","",VLOOKUP($A11,従事者明細!$A$3:$F$52,3))</f>
        <v>開発課題1/農村調査</v>
      </c>
      <c r="D11" s="2">
        <v>15</v>
      </c>
      <c r="E11" s="185">
        <f t="shared" si="0"/>
        <v>135565</v>
      </c>
      <c r="F11" s="194">
        <v>3</v>
      </c>
      <c r="G11" s="329" t="str">
        <f t="shared" si="1"/>
        <v>Y</v>
      </c>
      <c r="H11" s="7"/>
      <c r="I11" s="227">
        <v>3800</v>
      </c>
      <c r="J11" s="11" t="s">
        <v>14</v>
      </c>
      <c r="K11" s="228">
        <f t="shared" si="2"/>
        <v>15</v>
      </c>
      <c r="L11" s="11" t="s">
        <v>15</v>
      </c>
      <c r="M11" s="11" t="s">
        <v>16</v>
      </c>
      <c r="N11" s="288">
        <f t="shared" si="3"/>
        <v>57000</v>
      </c>
      <c r="O11" s="263">
        <f t="shared" si="4"/>
        <v>11600</v>
      </c>
      <c r="P11" s="11" t="s">
        <v>14</v>
      </c>
      <c r="Q11" s="228">
        <f t="shared" si="5"/>
        <v>13</v>
      </c>
      <c r="R11" s="11" t="s">
        <v>17</v>
      </c>
      <c r="S11" s="11" t="s">
        <v>16</v>
      </c>
      <c r="T11" s="288">
        <f t="shared" si="6"/>
        <v>150800</v>
      </c>
      <c r="U11" s="17">
        <v>2200</v>
      </c>
      <c r="V11" s="289">
        <f t="shared" si="7"/>
        <v>210000</v>
      </c>
      <c r="X11" s="6" t="s">
        <v>227</v>
      </c>
    </row>
    <row r="12" spans="1:28" ht="30" customHeight="1">
      <c r="A12" s="421">
        <v>2</v>
      </c>
      <c r="B12" s="171" t="str">
        <f>IF($A12="","",VLOOKUP($A12,従事者明細!$A$3:$F$52,2))</f>
        <v>本田　慶介
（大阪）</v>
      </c>
      <c r="C12" s="122" t="str">
        <f>IF($A12="","",VLOOKUP($A12,従事者明細!$A$3:$F$52,3))</f>
        <v>開発課題1/農村調査</v>
      </c>
      <c r="D12" s="2">
        <v>10</v>
      </c>
      <c r="E12" s="185">
        <f t="shared" si="0"/>
        <v>135565</v>
      </c>
      <c r="F12" s="194">
        <v>3</v>
      </c>
      <c r="G12" s="329" t="str">
        <f t="shared" si="1"/>
        <v>Y</v>
      </c>
      <c r="H12" s="7"/>
      <c r="I12" s="227">
        <v>3800</v>
      </c>
      <c r="J12" s="11" t="s">
        <v>14</v>
      </c>
      <c r="K12" s="228">
        <f t="shared" si="2"/>
        <v>10</v>
      </c>
      <c r="L12" s="11" t="s">
        <v>15</v>
      </c>
      <c r="M12" s="11" t="s">
        <v>16</v>
      </c>
      <c r="N12" s="288">
        <f t="shared" ref="N12" si="8">IF(K12="","",SUM(I12*K12))</f>
        <v>38000</v>
      </c>
      <c r="O12" s="263">
        <f t="shared" si="4"/>
        <v>11600</v>
      </c>
      <c r="P12" s="11" t="s">
        <v>14</v>
      </c>
      <c r="Q12" s="228">
        <f t="shared" si="5"/>
        <v>8</v>
      </c>
      <c r="R12" s="11" t="s">
        <v>17</v>
      </c>
      <c r="S12" s="11" t="s">
        <v>16</v>
      </c>
      <c r="T12" s="288">
        <f t="shared" ref="T12" si="9">IF(Q12="","",SUM(O12*Q12))</f>
        <v>92800</v>
      </c>
      <c r="U12" s="17">
        <v>2200</v>
      </c>
      <c r="V12" s="289">
        <f t="shared" ref="V12" si="10">IF(D12="","",SUM(N12+T12+U12))</f>
        <v>133000</v>
      </c>
    </row>
    <row r="13" spans="1:28" ht="30" customHeight="1">
      <c r="A13" s="421">
        <v>3</v>
      </c>
      <c r="B13" s="171" t="str">
        <f>IF($A13="","",VLOOKUP($A13,従事者明細!$A$3:$F$52,2))</f>
        <v>阿部　一朗
（東京）</v>
      </c>
      <c r="C13" s="122" t="str">
        <f>IF($A13="","",VLOOKUP($A13,従事者明細!$A$3:$F$52,3))</f>
        <v>チーフアドバイザー/開発課題2/市場調査</v>
      </c>
      <c r="D13" s="2">
        <v>15</v>
      </c>
      <c r="E13" s="185">
        <f t="shared" si="0"/>
        <v>108918</v>
      </c>
      <c r="F13" s="194">
        <v>1</v>
      </c>
      <c r="G13" s="329" t="str">
        <f t="shared" si="1"/>
        <v>Y</v>
      </c>
      <c r="H13" s="7"/>
      <c r="I13" s="227">
        <v>3800</v>
      </c>
      <c r="J13" s="11" t="s">
        <v>14</v>
      </c>
      <c r="K13" s="228">
        <f t="shared" si="2"/>
        <v>15</v>
      </c>
      <c r="L13" s="11" t="s">
        <v>15</v>
      </c>
      <c r="M13" s="11" t="s">
        <v>16</v>
      </c>
      <c r="N13" s="288">
        <f t="shared" ref="N13" si="11">IF(K13="","",SUM(I13*K13))</f>
        <v>57000</v>
      </c>
      <c r="O13" s="263">
        <f t="shared" si="4"/>
        <v>11600</v>
      </c>
      <c r="P13" s="11" t="s">
        <v>14</v>
      </c>
      <c r="Q13" s="228">
        <f t="shared" si="5"/>
        <v>13</v>
      </c>
      <c r="R13" s="11" t="s">
        <v>17</v>
      </c>
      <c r="S13" s="11" t="s">
        <v>16</v>
      </c>
      <c r="T13" s="288">
        <f t="shared" ref="T13" si="12">IF(Q13="","",SUM(O13*Q13))</f>
        <v>150800</v>
      </c>
      <c r="U13" s="17">
        <v>4870</v>
      </c>
      <c r="V13" s="289">
        <f t="shared" ref="V13" si="13">IF(D13="","",SUM(N13+T13+U13))</f>
        <v>212670</v>
      </c>
    </row>
    <row r="14" spans="1:28" ht="30" customHeight="1">
      <c r="A14" s="421">
        <v>3</v>
      </c>
      <c r="B14" s="171" t="str">
        <f>IF($A14="","",VLOOKUP($A14,従事者明細!$A$3:$F$52,2))</f>
        <v>阿部　一朗
（東京）</v>
      </c>
      <c r="C14" s="122" t="str">
        <f>IF($A14="","",VLOOKUP($A14,従事者明細!$A$3:$F$52,3))</f>
        <v>チーフアドバイザー/開発課題2/市場調査</v>
      </c>
      <c r="D14" s="2">
        <v>15</v>
      </c>
      <c r="E14" s="185">
        <f t="shared" si="0"/>
        <v>108918</v>
      </c>
      <c r="F14" s="194">
        <v>1</v>
      </c>
      <c r="G14" s="329" t="str">
        <f t="shared" si="1"/>
        <v>Y</v>
      </c>
      <c r="H14" s="7"/>
      <c r="I14" s="227">
        <v>3800</v>
      </c>
      <c r="J14" s="11" t="s">
        <v>14</v>
      </c>
      <c r="K14" s="228">
        <f t="shared" si="2"/>
        <v>15</v>
      </c>
      <c r="L14" s="11" t="s">
        <v>15</v>
      </c>
      <c r="M14" s="11" t="s">
        <v>16</v>
      </c>
      <c r="N14" s="288">
        <f t="shared" ref="N14" si="14">IF(K14="","",SUM(I14*K14))</f>
        <v>57000</v>
      </c>
      <c r="O14" s="263">
        <f t="shared" si="4"/>
        <v>11600</v>
      </c>
      <c r="P14" s="11" t="s">
        <v>14</v>
      </c>
      <c r="Q14" s="228">
        <f t="shared" si="5"/>
        <v>13</v>
      </c>
      <c r="R14" s="11" t="s">
        <v>17</v>
      </c>
      <c r="S14" s="11" t="s">
        <v>16</v>
      </c>
      <c r="T14" s="288">
        <f t="shared" ref="T14" si="15">IF(Q14="","",SUM(O14*Q14))</f>
        <v>150800</v>
      </c>
      <c r="U14" s="17">
        <v>4870</v>
      </c>
      <c r="V14" s="289">
        <f t="shared" ref="V14" si="16">IF(D14="","",SUM(N14+T14+U14))</f>
        <v>212670</v>
      </c>
    </row>
    <row r="15" spans="1:28" ht="30" customHeight="1">
      <c r="A15" s="421">
        <v>4</v>
      </c>
      <c r="B15" s="171" t="str">
        <f>IF($A15="","",VLOOKUP($A15,従事者明細!$A$3:$F$52,2))</f>
        <v>半沢　直樹
（東京）</v>
      </c>
      <c r="C15" s="122" t="str">
        <f>IF($A15="","",VLOOKUP($A15,従事者明細!$A$3:$F$52,3))</f>
        <v>パートナー連携</v>
      </c>
      <c r="D15" s="2">
        <v>15</v>
      </c>
      <c r="E15" s="185">
        <f t="shared" si="0"/>
        <v>108918</v>
      </c>
      <c r="F15" s="194">
        <v>1</v>
      </c>
      <c r="G15" s="329" t="str">
        <f t="shared" si="1"/>
        <v>Y</v>
      </c>
      <c r="H15" s="7"/>
      <c r="I15" s="227">
        <v>3800</v>
      </c>
      <c r="J15" s="11" t="s">
        <v>14</v>
      </c>
      <c r="K15" s="228">
        <f t="shared" si="2"/>
        <v>15</v>
      </c>
      <c r="L15" s="11" t="s">
        <v>15</v>
      </c>
      <c r="M15" s="11" t="s">
        <v>16</v>
      </c>
      <c r="N15" s="288">
        <f t="shared" si="3"/>
        <v>57000</v>
      </c>
      <c r="O15" s="263">
        <f t="shared" si="4"/>
        <v>11600</v>
      </c>
      <c r="P15" s="11" t="s">
        <v>14</v>
      </c>
      <c r="Q15" s="228">
        <f t="shared" si="5"/>
        <v>13</v>
      </c>
      <c r="R15" s="11" t="s">
        <v>17</v>
      </c>
      <c r="S15" s="11" t="s">
        <v>16</v>
      </c>
      <c r="T15" s="288">
        <f t="shared" si="6"/>
        <v>150800</v>
      </c>
      <c r="U15" s="17">
        <v>4870</v>
      </c>
      <c r="V15" s="289">
        <f t="shared" si="7"/>
        <v>212670</v>
      </c>
    </row>
    <row r="16" spans="1:28" ht="30" customHeight="1">
      <c r="A16" s="421">
        <v>4</v>
      </c>
      <c r="B16" s="171" t="str">
        <f>IF($A16="","",VLOOKUP($A16,従事者明細!$A$3:$F$52,2))</f>
        <v>半沢　直樹
（東京）</v>
      </c>
      <c r="C16" s="314" t="str">
        <f>IF($A16="","",VLOOKUP($A16,従事者明細!$A$3:$F$52,3))</f>
        <v>パートナー連携</v>
      </c>
      <c r="D16" s="2">
        <v>15</v>
      </c>
      <c r="E16" s="185">
        <f t="shared" si="0"/>
        <v>108918</v>
      </c>
      <c r="F16" s="194">
        <v>1</v>
      </c>
      <c r="G16" s="329" t="str">
        <f t="shared" si="1"/>
        <v>Y</v>
      </c>
      <c r="H16" s="7"/>
      <c r="I16" s="227">
        <v>3800</v>
      </c>
      <c r="J16" s="11" t="s">
        <v>14</v>
      </c>
      <c r="K16" s="228">
        <f t="shared" si="2"/>
        <v>15</v>
      </c>
      <c r="L16" s="11" t="s">
        <v>15</v>
      </c>
      <c r="M16" s="11" t="s">
        <v>16</v>
      </c>
      <c r="N16" s="288">
        <f t="shared" ref="N16" si="17">IF(K16="","",SUM(I16*K16))</f>
        <v>57000</v>
      </c>
      <c r="O16" s="263">
        <f t="shared" si="4"/>
        <v>11600</v>
      </c>
      <c r="P16" s="11" t="s">
        <v>14</v>
      </c>
      <c r="Q16" s="228">
        <f t="shared" si="5"/>
        <v>13</v>
      </c>
      <c r="R16" s="11" t="s">
        <v>17</v>
      </c>
      <c r="S16" s="11" t="s">
        <v>16</v>
      </c>
      <c r="T16" s="288">
        <f t="shared" ref="T16" si="18">IF(Q16="","",SUM(O16*Q16))</f>
        <v>150800</v>
      </c>
      <c r="U16" s="17">
        <v>4870</v>
      </c>
      <c r="V16" s="289">
        <f t="shared" ref="V16" si="19">IF(D16="","",SUM(N16+T16+U16))</f>
        <v>212670</v>
      </c>
    </row>
    <row r="17" spans="1:22" ht="30" customHeight="1">
      <c r="A17" s="421">
        <v>5</v>
      </c>
      <c r="B17" s="171" t="str">
        <f>IF($A17="","",VLOOKUP($A17,従事者明細!$A$3:$F$52,2))</f>
        <v>鈴木　花子
（ハノイ）</v>
      </c>
      <c r="C17" s="122" t="str">
        <f>IF($A17="","",VLOOKUP($A17,従事者明細!$A$3:$F$52,3))</f>
        <v>環境社会配慮調査</v>
      </c>
      <c r="D17" s="2">
        <v>10</v>
      </c>
      <c r="E17" s="185">
        <f t="shared" si="0"/>
        <v>55650</v>
      </c>
      <c r="F17" s="194">
        <v>6</v>
      </c>
      <c r="G17" s="329" t="str">
        <f t="shared" si="1"/>
        <v>現地国内移動</v>
      </c>
      <c r="H17" s="7"/>
      <c r="I17" s="227">
        <v>3800</v>
      </c>
      <c r="J17" s="11" t="s">
        <v>14</v>
      </c>
      <c r="K17" s="228">
        <f t="shared" si="2"/>
        <v>10</v>
      </c>
      <c r="L17" s="11" t="s">
        <v>15</v>
      </c>
      <c r="M17" s="11" t="s">
        <v>16</v>
      </c>
      <c r="N17" s="288">
        <f t="shared" si="3"/>
        <v>38000</v>
      </c>
      <c r="O17" s="263">
        <f t="shared" si="4"/>
        <v>11600</v>
      </c>
      <c r="P17" s="11" t="s">
        <v>14</v>
      </c>
      <c r="Q17" s="228">
        <v>9</v>
      </c>
      <c r="R17" s="11" t="s">
        <v>17</v>
      </c>
      <c r="S17" s="11" t="s">
        <v>16</v>
      </c>
      <c r="T17" s="288">
        <f t="shared" si="6"/>
        <v>104400</v>
      </c>
      <c r="U17" s="17">
        <v>0</v>
      </c>
      <c r="V17" s="289">
        <f t="shared" si="7"/>
        <v>142400</v>
      </c>
    </row>
    <row r="18" spans="1:22" ht="30" customHeight="1">
      <c r="A18" s="421">
        <v>6</v>
      </c>
      <c r="B18" s="171" t="str">
        <f>IF($A18="","",VLOOKUP($A18,従事者明細!$A$3:$F$52,2))</f>
        <v>国際　太郎
（埼玉）</v>
      </c>
      <c r="C18" s="122" t="str">
        <f>IF($A18="","",VLOOKUP($A18,従事者明細!$A$3:$F$52,3))</f>
        <v>法制度調査</v>
      </c>
      <c r="D18" s="2">
        <v>25</v>
      </c>
      <c r="E18" s="185">
        <f t="shared" si="0"/>
        <v>129973</v>
      </c>
      <c r="F18" s="194">
        <v>4</v>
      </c>
      <c r="G18" s="329" t="str">
        <f t="shared" si="1"/>
        <v>Y</v>
      </c>
      <c r="H18" s="7"/>
      <c r="I18" s="227">
        <v>3800</v>
      </c>
      <c r="J18" s="11" t="s">
        <v>14</v>
      </c>
      <c r="K18" s="228">
        <f t="shared" si="2"/>
        <v>25</v>
      </c>
      <c r="L18" s="11" t="s">
        <v>15</v>
      </c>
      <c r="M18" s="11" t="s">
        <v>16</v>
      </c>
      <c r="N18" s="288">
        <f t="shared" si="3"/>
        <v>95000</v>
      </c>
      <c r="O18" s="263">
        <f t="shared" si="4"/>
        <v>11600</v>
      </c>
      <c r="P18" s="11" t="s">
        <v>14</v>
      </c>
      <c r="Q18" s="228">
        <f t="shared" si="5"/>
        <v>23</v>
      </c>
      <c r="R18" s="11" t="s">
        <v>17</v>
      </c>
      <c r="S18" s="11" t="s">
        <v>16</v>
      </c>
      <c r="T18" s="288">
        <f t="shared" si="6"/>
        <v>266800</v>
      </c>
      <c r="U18" s="17">
        <v>2435</v>
      </c>
      <c r="V18" s="289">
        <f t="shared" si="7"/>
        <v>364235</v>
      </c>
    </row>
    <row r="19" spans="1:22" ht="30" customHeight="1">
      <c r="A19" s="421">
        <v>6</v>
      </c>
      <c r="B19" s="171" t="str">
        <f>IF($A19="","",VLOOKUP($A19,従事者明細!$A$3:$F$52,2))</f>
        <v>国際　太郎
（埼玉）</v>
      </c>
      <c r="C19" s="122" t="str">
        <f>IF($A19="","",VLOOKUP($A19,従事者明細!$A$3:$F$52,3))</f>
        <v>法制度調査</v>
      </c>
      <c r="D19" s="2">
        <v>8</v>
      </c>
      <c r="E19" s="185">
        <f t="shared" si="0"/>
        <v>129973</v>
      </c>
      <c r="F19" s="194">
        <v>4</v>
      </c>
      <c r="G19" s="329" t="str">
        <f t="shared" si="1"/>
        <v>Y</v>
      </c>
      <c r="H19" s="7"/>
      <c r="I19" s="227">
        <v>3800</v>
      </c>
      <c r="J19" s="11" t="s">
        <v>14</v>
      </c>
      <c r="K19" s="228">
        <f t="shared" si="2"/>
        <v>8</v>
      </c>
      <c r="L19" s="11" t="s">
        <v>15</v>
      </c>
      <c r="M19" s="11" t="s">
        <v>16</v>
      </c>
      <c r="N19" s="288">
        <f t="shared" si="3"/>
        <v>30400</v>
      </c>
      <c r="O19" s="263">
        <f t="shared" si="4"/>
        <v>11600</v>
      </c>
      <c r="P19" s="11" t="s">
        <v>14</v>
      </c>
      <c r="Q19" s="228">
        <f t="shared" si="5"/>
        <v>6</v>
      </c>
      <c r="R19" s="11" t="s">
        <v>17</v>
      </c>
      <c r="S19" s="11" t="s">
        <v>16</v>
      </c>
      <c r="T19" s="288">
        <f t="shared" si="6"/>
        <v>69600</v>
      </c>
      <c r="U19" s="17">
        <v>2435</v>
      </c>
      <c r="V19" s="289">
        <f t="shared" si="7"/>
        <v>102435</v>
      </c>
    </row>
    <row r="20" spans="1:22" ht="30" customHeight="1">
      <c r="A20" s="421">
        <v>7</v>
      </c>
      <c r="B20" s="171" t="str">
        <f>IF($A20="","",VLOOKUP($A20,従事者明細!$A$3:$F$52,2))</f>
        <v>高橋　雅子
（神奈川）</v>
      </c>
      <c r="C20" s="122" t="str">
        <f>IF($A20="","",VLOOKUP($A20,従事者明細!$A$3:$F$52,3))</f>
        <v>事業化調査/操作指導</v>
      </c>
      <c r="D20" s="2">
        <v>30</v>
      </c>
      <c r="E20" s="185">
        <f t="shared" si="0"/>
        <v>140473</v>
      </c>
      <c r="F20" s="194">
        <v>5</v>
      </c>
      <c r="G20" s="329" t="str">
        <f t="shared" si="1"/>
        <v>Y</v>
      </c>
      <c r="H20" s="7"/>
      <c r="I20" s="227">
        <v>3800</v>
      </c>
      <c r="J20" s="11" t="s">
        <v>14</v>
      </c>
      <c r="K20" s="228">
        <f t="shared" si="2"/>
        <v>30</v>
      </c>
      <c r="L20" s="11" t="s">
        <v>15</v>
      </c>
      <c r="M20" s="11" t="s">
        <v>16</v>
      </c>
      <c r="N20" s="288">
        <f t="shared" ref="N20:N36" si="20">IF(K20="","",SUM(I20*K20))</f>
        <v>114000</v>
      </c>
      <c r="O20" s="263">
        <f t="shared" si="4"/>
        <v>11600</v>
      </c>
      <c r="P20" s="11" t="s">
        <v>14</v>
      </c>
      <c r="Q20" s="228">
        <v>30</v>
      </c>
      <c r="R20" s="11" t="s">
        <v>17</v>
      </c>
      <c r="S20" s="11" t="s">
        <v>16</v>
      </c>
      <c r="T20" s="288">
        <f t="shared" ref="T20:T36" si="21">IF(Q20="","",SUM(O20*Q20))</f>
        <v>348000</v>
      </c>
      <c r="U20" s="17">
        <v>0</v>
      </c>
      <c r="V20" s="289">
        <f t="shared" ref="V20:V36" si="22">IF(D20="","",SUM(N20+T20+U20))</f>
        <v>462000</v>
      </c>
    </row>
    <row r="21" spans="1:22" ht="30" customHeight="1">
      <c r="A21" s="421">
        <v>7</v>
      </c>
      <c r="B21" s="171" t="str">
        <f>IF($A21="","",VLOOKUP($A21,従事者明細!$A$3:$F$52,2))</f>
        <v>高橋　雅子
（神奈川）</v>
      </c>
      <c r="C21" s="122" t="str">
        <f>IF($A21="","",VLOOKUP($A21,従事者明細!$A$3:$F$52,3))</f>
        <v>事業化調査/操作指導</v>
      </c>
      <c r="D21" s="2">
        <v>5</v>
      </c>
      <c r="E21" s="185" t="str">
        <f t="shared" si="0"/>
        <v/>
      </c>
      <c r="F21" s="194"/>
      <c r="G21" s="329" t="str">
        <f t="shared" si="1"/>
        <v/>
      </c>
      <c r="H21" s="7"/>
      <c r="I21" s="227">
        <v>3420</v>
      </c>
      <c r="J21" s="11" t="s">
        <v>14</v>
      </c>
      <c r="K21" s="228">
        <f t="shared" si="2"/>
        <v>5</v>
      </c>
      <c r="L21" s="11" t="s">
        <v>15</v>
      </c>
      <c r="M21" s="11" t="s">
        <v>16</v>
      </c>
      <c r="N21" s="288">
        <f t="shared" si="20"/>
        <v>17100</v>
      </c>
      <c r="O21" s="263">
        <f t="shared" si="4"/>
        <v>10440</v>
      </c>
      <c r="P21" s="11" t="s">
        <v>14</v>
      </c>
      <c r="Q21" s="228">
        <f t="shared" si="5"/>
        <v>3</v>
      </c>
      <c r="R21" s="11" t="s">
        <v>17</v>
      </c>
      <c r="S21" s="11" t="s">
        <v>16</v>
      </c>
      <c r="T21" s="288">
        <f t="shared" si="21"/>
        <v>31320</v>
      </c>
      <c r="U21" s="17"/>
      <c r="V21" s="289">
        <f t="shared" si="22"/>
        <v>48420</v>
      </c>
    </row>
    <row r="22" spans="1:22" ht="30" customHeight="1">
      <c r="A22" s="421">
        <v>8</v>
      </c>
      <c r="B22" s="171" t="str">
        <f>IF($A22="","",VLOOKUP($A22,従事者明細!$A$3:$F$52,2))</f>
        <v>石田　次郎
（長野）</v>
      </c>
      <c r="C22" s="122" t="str">
        <f>IF($A22="","",VLOOKUP($A22,従事者明細!$A$3:$F$52,3))</f>
        <v>肥料設計/開発効果</v>
      </c>
      <c r="D22" s="2">
        <v>10</v>
      </c>
      <c r="E22" s="185">
        <f t="shared" si="0"/>
        <v>140473</v>
      </c>
      <c r="F22" s="194">
        <v>5</v>
      </c>
      <c r="G22" s="329" t="str">
        <f t="shared" si="1"/>
        <v>Y</v>
      </c>
      <c r="H22" s="7"/>
      <c r="I22" s="227">
        <v>3800</v>
      </c>
      <c r="J22" s="11" t="s">
        <v>14</v>
      </c>
      <c r="K22" s="228">
        <f t="shared" si="2"/>
        <v>10</v>
      </c>
      <c r="L22" s="11" t="s">
        <v>15</v>
      </c>
      <c r="M22" s="11" t="s">
        <v>16</v>
      </c>
      <c r="N22" s="288">
        <f t="shared" ref="N22:N31" si="23">IF(K22="","",SUM(I22*K22))</f>
        <v>38000</v>
      </c>
      <c r="O22" s="263">
        <f t="shared" si="4"/>
        <v>11600</v>
      </c>
      <c r="P22" s="11" t="s">
        <v>14</v>
      </c>
      <c r="Q22" s="228">
        <f t="shared" si="5"/>
        <v>8</v>
      </c>
      <c r="R22" s="11" t="s">
        <v>17</v>
      </c>
      <c r="S22" s="11" t="s">
        <v>16</v>
      </c>
      <c r="T22" s="288">
        <f t="shared" ref="T22:T31" si="24">IF(Q22="","",SUM(O22*Q22))</f>
        <v>92800</v>
      </c>
      <c r="U22" s="17">
        <v>12000</v>
      </c>
      <c r="V22" s="289">
        <f t="shared" ref="V22:V31" si="25">IF(D22="","",SUM(N22+T22+U22))</f>
        <v>142800</v>
      </c>
    </row>
    <row r="23" spans="1:22" ht="30" customHeight="1">
      <c r="A23" s="421">
        <v>9</v>
      </c>
      <c r="B23" s="171" t="str">
        <f>IF($A23="","",VLOOKUP($A23,従事者明細!$A$3:$F$52,2))</f>
        <v>佐藤　次郎
（京都）</v>
      </c>
      <c r="C23" s="122" t="str">
        <f>IF($A23="","",VLOOKUP($A23,従事者明細!$A$3:$F$52,3))</f>
        <v>システム設計</v>
      </c>
      <c r="D23" s="2">
        <v>15</v>
      </c>
      <c r="E23" s="185">
        <f t="shared" si="0"/>
        <v>108918</v>
      </c>
      <c r="F23" s="194">
        <v>1</v>
      </c>
      <c r="G23" s="329" t="str">
        <f t="shared" ref="G23:G41" si="26">IF($F23="","",VLOOKUP($F23,$D$46:$F$51,3))</f>
        <v>Y</v>
      </c>
      <c r="H23" s="7"/>
      <c r="I23" s="227">
        <v>3800</v>
      </c>
      <c r="J23" s="11" t="s">
        <v>14</v>
      </c>
      <c r="K23" s="228">
        <f t="shared" si="2"/>
        <v>15</v>
      </c>
      <c r="L23" s="11" t="s">
        <v>15</v>
      </c>
      <c r="M23" s="11" t="s">
        <v>16</v>
      </c>
      <c r="N23" s="288">
        <f t="shared" si="23"/>
        <v>57000</v>
      </c>
      <c r="O23" s="263">
        <f t="shared" si="4"/>
        <v>11600</v>
      </c>
      <c r="P23" s="11" t="s">
        <v>14</v>
      </c>
      <c r="Q23" s="228">
        <f t="shared" si="5"/>
        <v>13</v>
      </c>
      <c r="R23" s="11" t="s">
        <v>17</v>
      </c>
      <c r="S23" s="11" t="s">
        <v>16</v>
      </c>
      <c r="T23" s="288">
        <f t="shared" si="24"/>
        <v>150800</v>
      </c>
      <c r="U23" s="17"/>
      <c r="V23" s="289">
        <f t="shared" si="25"/>
        <v>207800</v>
      </c>
    </row>
    <row r="24" spans="1:22" ht="30" customHeight="1">
      <c r="A24" s="421">
        <v>10</v>
      </c>
      <c r="B24" s="171" t="str">
        <f>IF($A24="","",VLOOKUP($A24,従事者明細!$A$3:$F$52,2))</f>
        <v>星　輝
（千葉）</v>
      </c>
      <c r="C24" s="122" t="str">
        <f>IF($A24="","",VLOOKUP($A24,従事者明細!$A$3:$F$52,3))</f>
        <v>海外市場調査</v>
      </c>
      <c r="D24" s="2">
        <v>10</v>
      </c>
      <c r="E24" s="185">
        <f t="shared" si="0"/>
        <v>135565</v>
      </c>
      <c r="F24" s="194">
        <v>3</v>
      </c>
      <c r="G24" s="329" t="str">
        <f t="shared" si="26"/>
        <v>Y</v>
      </c>
      <c r="H24" s="7"/>
      <c r="I24" s="227">
        <v>3800</v>
      </c>
      <c r="J24" s="11" t="s">
        <v>14</v>
      </c>
      <c r="K24" s="228">
        <f t="shared" si="2"/>
        <v>10</v>
      </c>
      <c r="L24" s="11" t="s">
        <v>15</v>
      </c>
      <c r="M24" s="11" t="s">
        <v>16</v>
      </c>
      <c r="N24" s="288">
        <f t="shared" si="23"/>
        <v>38000</v>
      </c>
      <c r="O24" s="263">
        <f t="shared" si="4"/>
        <v>11600</v>
      </c>
      <c r="P24" s="11" t="s">
        <v>14</v>
      </c>
      <c r="Q24" s="228">
        <f t="shared" si="5"/>
        <v>8</v>
      </c>
      <c r="R24" s="11" t="s">
        <v>17</v>
      </c>
      <c r="S24" s="11" t="s">
        <v>16</v>
      </c>
      <c r="T24" s="288">
        <f t="shared" si="24"/>
        <v>92800</v>
      </c>
      <c r="U24" s="17"/>
      <c r="V24" s="289">
        <f t="shared" si="25"/>
        <v>130800</v>
      </c>
    </row>
    <row r="25" spans="1:22" ht="30" hidden="1" customHeight="1">
      <c r="A25" s="421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194"/>
      <c r="G25" s="329" t="str">
        <f t="shared" si="26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8" t="str">
        <f t="shared" si="23"/>
        <v/>
      </c>
      <c r="O25" s="263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8" t="str">
        <f t="shared" si="24"/>
        <v/>
      </c>
      <c r="U25" s="17"/>
      <c r="V25" s="289" t="str">
        <f t="shared" si="25"/>
        <v/>
      </c>
    </row>
    <row r="26" spans="1:22" ht="30" hidden="1" customHeight="1">
      <c r="A26" s="421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194"/>
      <c r="G26" s="329" t="str">
        <f t="shared" si="26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8" t="str">
        <f t="shared" si="23"/>
        <v/>
      </c>
      <c r="O26" s="263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8" t="str">
        <f t="shared" si="24"/>
        <v/>
      </c>
      <c r="U26" s="17"/>
      <c r="V26" s="289" t="str">
        <f t="shared" si="25"/>
        <v/>
      </c>
    </row>
    <row r="27" spans="1:22" ht="30" hidden="1" customHeight="1">
      <c r="A27" s="421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194"/>
      <c r="G27" s="329" t="str">
        <f t="shared" si="26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8" t="str">
        <f t="shared" si="23"/>
        <v/>
      </c>
      <c r="O27" s="263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8" t="str">
        <f t="shared" si="24"/>
        <v/>
      </c>
      <c r="U27" s="17"/>
      <c r="V27" s="289" t="str">
        <f t="shared" si="25"/>
        <v/>
      </c>
    </row>
    <row r="28" spans="1:22" ht="30" hidden="1" customHeight="1">
      <c r="A28" s="421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194"/>
      <c r="G28" s="329" t="str">
        <f t="shared" si="26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8" t="str">
        <f t="shared" si="23"/>
        <v/>
      </c>
      <c r="O28" s="263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8" t="str">
        <f t="shared" si="24"/>
        <v/>
      </c>
      <c r="U28" s="17"/>
      <c r="V28" s="289" t="str">
        <f t="shared" si="25"/>
        <v/>
      </c>
    </row>
    <row r="29" spans="1:22" ht="30" hidden="1" customHeight="1">
      <c r="A29" s="421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194"/>
      <c r="G29" s="329" t="str">
        <f t="shared" si="26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8" t="str">
        <f t="shared" si="23"/>
        <v/>
      </c>
      <c r="O29" s="263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8" t="str">
        <f t="shared" si="24"/>
        <v/>
      </c>
      <c r="U29" s="17"/>
      <c r="V29" s="289" t="str">
        <f t="shared" si="25"/>
        <v/>
      </c>
    </row>
    <row r="30" spans="1:22" ht="30" hidden="1" customHeight="1">
      <c r="A30" s="421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194"/>
      <c r="G30" s="329" t="str">
        <f t="shared" si="26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8" t="str">
        <f t="shared" si="23"/>
        <v/>
      </c>
      <c r="O30" s="263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8" t="str">
        <f t="shared" si="24"/>
        <v/>
      </c>
      <c r="U30" s="17"/>
      <c r="V30" s="289" t="str">
        <f t="shared" si="25"/>
        <v/>
      </c>
    </row>
    <row r="31" spans="1:22" ht="30" hidden="1" customHeight="1">
      <c r="A31" s="421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194"/>
      <c r="G31" s="329" t="str">
        <f t="shared" si="26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8" t="str">
        <f t="shared" si="23"/>
        <v/>
      </c>
      <c r="O31" s="263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8" t="str">
        <f t="shared" si="24"/>
        <v/>
      </c>
      <c r="U31" s="17"/>
      <c r="V31" s="289" t="str">
        <f t="shared" si="25"/>
        <v/>
      </c>
    </row>
    <row r="32" spans="1:22" ht="30" hidden="1" customHeight="1">
      <c r="A32" s="421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194"/>
      <c r="G32" s="329" t="str">
        <f t="shared" si="26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8" t="str">
        <f t="shared" si="20"/>
        <v/>
      </c>
      <c r="O32" s="263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8" t="str">
        <f t="shared" si="21"/>
        <v/>
      </c>
      <c r="U32" s="17"/>
      <c r="V32" s="289" t="str">
        <f t="shared" si="22"/>
        <v/>
      </c>
    </row>
    <row r="33" spans="1:23" ht="30" hidden="1" customHeight="1">
      <c r="A33" s="421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194"/>
      <c r="G33" s="329" t="str">
        <f t="shared" si="26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8" t="str">
        <f t="shared" si="20"/>
        <v/>
      </c>
      <c r="O33" s="263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8" t="str">
        <f t="shared" si="21"/>
        <v/>
      </c>
      <c r="U33" s="17"/>
      <c r="V33" s="289" t="str">
        <f t="shared" si="22"/>
        <v/>
      </c>
    </row>
    <row r="34" spans="1:23" ht="30" hidden="1" customHeight="1">
      <c r="A34" s="421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194"/>
      <c r="G34" s="329" t="str">
        <f t="shared" si="26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8" t="str">
        <f t="shared" si="20"/>
        <v/>
      </c>
      <c r="O34" s="263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8" t="str">
        <f t="shared" si="21"/>
        <v/>
      </c>
      <c r="U34" s="17"/>
      <c r="V34" s="289" t="str">
        <f t="shared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194"/>
      <c r="G35" s="329" t="str">
        <f t="shared" si="26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8" t="str">
        <f t="shared" si="20"/>
        <v/>
      </c>
      <c r="O35" s="263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8" t="str">
        <f t="shared" si="21"/>
        <v/>
      </c>
      <c r="U35" s="17"/>
      <c r="V35" s="289" t="str">
        <f t="shared" si="22"/>
        <v/>
      </c>
    </row>
    <row r="36" spans="1:23" ht="30" hidden="1" customHeight="1">
      <c r="A36" s="421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194"/>
      <c r="G36" s="329" t="str">
        <f t="shared" si="26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8" t="str">
        <f t="shared" si="20"/>
        <v/>
      </c>
      <c r="O36" s="263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8" t="str">
        <f t="shared" si="21"/>
        <v/>
      </c>
      <c r="U36" s="17"/>
      <c r="V36" s="289" t="str">
        <f t="shared" si="22"/>
        <v/>
      </c>
    </row>
    <row r="37" spans="1:23" ht="30" hidden="1" customHeight="1">
      <c r="A37" s="421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194"/>
      <c r="G37" s="329" t="str">
        <f t="shared" si="26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8" t="str">
        <f t="shared" si="3"/>
        <v/>
      </c>
      <c r="O37" s="263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8" t="str">
        <f t="shared" si="6"/>
        <v/>
      </c>
      <c r="U37" s="17"/>
      <c r="V37" s="289" t="str">
        <f t="shared" si="7"/>
        <v/>
      </c>
    </row>
    <row r="38" spans="1:23" ht="30" hidden="1" customHeight="1">
      <c r="A38" s="421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194"/>
      <c r="G38" s="329" t="str">
        <f t="shared" si="26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8" t="str">
        <f t="shared" si="3"/>
        <v/>
      </c>
      <c r="O38" s="263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8" t="str">
        <f t="shared" si="6"/>
        <v/>
      </c>
      <c r="U38" s="17"/>
      <c r="V38" s="289" t="str">
        <f t="shared" si="7"/>
        <v/>
      </c>
    </row>
    <row r="39" spans="1:23" ht="30" hidden="1" customHeight="1">
      <c r="A39" s="421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194"/>
      <c r="G39" s="329" t="str">
        <f t="shared" si="26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8" t="str">
        <f t="shared" si="3"/>
        <v/>
      </c>
      <c r="O39" s="263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8" t="str">
        <f t="shared" si="6"/>
        <v/>
      </c>
      <c r="U39" s="17"/>
      <c r="V39" s="289" t="str">
        <f t="shared" si="7"/>
        <v/>
      </c>
    </row>
    <row r="40" spans="1:23" ht="30" hidden="1" customHeight="1">
      <c r="A40" s="421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194"/>
      <c r="G40" s="329" t="str">
        <f t="shared" si="26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8" t="str">
        <f t="shared" si="3"/>
        <v/>
      </c>
      <c r="O40" s="263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8" t="str">
        <f t="shared" si="6"/>
        <v/>
      </c>
      <c r="U40" s="17"/>
      <c r="V40" s="289" t="str">
        <f t="shared" si="7"/>
        <v/>
      </c>
    </row>
    <row r="41" spans="1:23" ht="30" customHeight="1" thickBot="1">
      <c r="A41" s="421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194"/>
      <c r="G41" s="329" t="str">
        <f t="shared" si="26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8" t="str">
        <f t="shared" si="3"/>
        <v/>
      </c>
      <c r="O41" s="263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8" t="str">
        <f t="shared" si="6"/>
        <v/>
      </c>
      <c r="U41" s="17"/>
      <c r="V41" s="289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1997457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3214570</v>
      </c>
    </row>
    <row r="43" spans="1:23" ht="30" customHeight="1" thickBot="1">
      <c r="B43" s="7"/>
      <c r="C43" s="81"/>
      <c r="D43" s="86" t="s">
        <v>93</v>
      </c>
      <c r="E43" s="376">
        <f>ROUNDDOWN(E42,-3)</f>
        <v>1997000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6">
        <f>ROUNDDOWN(V42,-3)</f>
        <v>3214000</v>
      </c>
    </row>
    <row r="44" spans="1:23" ht="30" customHeight="1">
      <c r="B44" s="7"/>
      <c r="C44" s="7"/>
      <c r="D44" s="340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134</v>
      </c>
      <c r="E45" s="8" t="s">
        <v>196</v>
      </c>
      <c r="F45" s="341" t="s">
        <v>135</v>
      </c>
      <c r="G45" s="532" t="s">
        <v>146</v>
      </c>
      <c r="H45" s="534"/>
      <c r="I45" s="341" t="s">
        <v>228</v>
      </c>
      <c r="J45" s="547" t="s">
        <v>147</v>
      </c>
      <c r="K45" s="547"/>
      <c r="L45" s="547" t="s">
        <v>148</v>
      </c>
      <c r="M45" s="547"/>
      <c r="N45" s="183" t="s">
        <v>229</v>
      </c>
      <c r="O45" s="184" t="s">
        <v>149</v>
      </c>
      <c r="P45" s="532" t="s">
        <v>201</v>
      </c>
      <c r="Q45" s="533"/>
      <c r="R45" s="533"/>
      <c r="S45" s="533"/>
      <c r="T45" s="533"/>
      <c r="U45" s="533"/>
      <c r="V45" s="534"/>
      <c r="W45" s="278" t="s">
        <v>171</v>
      </c>
    </row>
    <row r="46" spans="1:23" ht="24" customHeight="1">
      <c r="B46" s="539"/>
      <c r="C46" s="544" t="s">
        <v>22</v>
      </c>
      <c r="D46" s="1">
        <v>1</v>
      </c>
      <c r="E46" s="186">
        <f>SUM(G46:O46)</f>
        <v>108918</v>
      </c>
      <c r="F46" s="328" t="s">
        <v>335</v>
      </c>
      <c r="G46" s="529">
        <v>90000</v>
      </c>
      <c r="H46" s="530"/>
      <c r="I46" s="181">
        <v>2418</v>
      </c>
      <c r="J46" s="528">
        <v>3000</v>
      </c>
      <c r="K46" s="528"/>
      <c r="L46" s="531">
        <v>9000</v>
      </c>
      <c r="M46" s="531"/>
      <c r="N46" s="182">
        <f>ROUND(G46*0.05,0)</f>
        <v>4500</v>
      </c>
      <c r="O46" s="180"/>
      <c r="P46" s="535" t="s">
        <v>338</v>
      </c>
      <c r="Q46" s="536"/>
      <c r="R46" s="536"/>
      <c r="S46" s="536"/>
      <c r="T46" s="536"/>
      <c r="U46" s="536"/>
      <c r="V46" s="537"/>
      <c r="W46" s="173"/>
    </row>
    <row r="47" spans="1:23" ht="24" customHeight="1">
      <c r="B47" s="539"/>
      <c r="C47" s="545"/>
      <c r="D47" s="1">
        <v>2</v>
      </c>
      <c r="E47" s="186">
        <f t="shared" ref="E47:E51" si="27">SUM(G47:O47)</f>
        <v>224815</v>
      </c>
      <c r="F47" s="328" t="s">
        <v>336</v>
      </c>
      <c r="G47" s="529">
        <v>200000</v>
      </c>
      <c r="H47" s="530"/>
      <c r="I47" s="181">
        <v>2815</v>
      </c>
      <c r="J47" s="528">
        <v>3000</v>
      </c>
      <c r="K47" s="528"/>
      <c r="L47" s="531">
        <v>9000</v>
      </c>
      <c r="M47" s="531"/>
      <c r="N47" s="182">
        <f t="shared" ref="N47:N51" si="28">ROUND(G47*0.05,0)</f>
        <v>10000</v>
      </c>
      <c r="O47" s="180"/>
      <c r="P47" s="535" t="s">
        <v>339</v>
      </c>
      <c r="Q47" s="536"/>
      <c r="R47" s="536"/>
      <c r="S47" s="536"/>
      <c r="T47" s="536"/>
      <c r="U47" s="536"/>
      <c r="V47" s="537"/>
      <c r="W47" s="173"/>
    </row>
    <row r="48" spans="1:23" ht="24" customHeight="1">
      <c r="B48" s="539"/>
      <c r="C48" s="545"/>
      <c r="D48" s="1">
        <v>3</v>
      </c>
      <c r="E48" s="186">
        <f t="shared" ref="E48" si="29">SUM(G48:O48)</f>
        <v>135565</v>
      </c>
      <c r="F48" s="328" t="s">
        <v>335</v>
      </c>
      <c r="G48" s="529">
        <v>115000</v>
      </c>
      <c r="H48" s="530"/>
      <c r="I48" s="181">
        <v>2815</v>
      </c>
      <c r="J48" s="528">
        <v>3000</v>
      </c>
      <c r="K48" s="528"/>
      <c r="L48" s="531">
        <v>9000</v>
      </c>
      <c r="M48" s="531"/>
      <c r="N48" s="182">
        <f t="shared" si="28"/>
        <v>5750</v>
      </c>
      <c r="O48" s="180"/>
      <c r="P48" s="535" t="s">
        <v>339</v>
      </c>
      <c r="Q48" s="536"/>
      <c r="R48" s="536"/>
      <c r="S48" s="536"/>
      <c r="T48" s="536"/>
      <c r="U48" s="536"/>
      <c r="V48" s="537"/>
      <c r="W48" s="173"/>
    </row>
    <row r="49" spans="2:23" ht="24" customHeight="1">
      <c r="B49" s="539"/>
      <c r="C49" s="545"/>
      <c r="D49" s="1">
        <v>4</v>
      </c>
      <c r="E49" s="186">
        <f t="shared" si="27"/>
        <v>129973</v>
      </c>
      <c r="F49" s="328" t="s">
        <v>335</v>
      </c>
      <c r="G49" s="529">
        <v>110000</v>
      </c>
      <c r="H49" s="530"/>
      <c r="I49" s="181">
        <v>2473</v>
      </c>
      <c r="J49" s="528">
        <v>3000</v>
      </c>
      <c r="K49" s="528"/>
      <c r="L49" s="531">
        <v>9000</v>
      </c>
      <c r="M49" s="531"/>
      <c r="N49" s="182">
        <f t="shared" si="28"/>
        <v>5500</v>
      </c>
      <c r="O49" s="180"/>
      <c r="P49" s="535" t="s">
        <v>340</v>
      </c>
      <c r="Q49" s="536"/>
      <c r="R49" s="536"/>
      <c r="S49" s="536"/>
      <c r="T49" s="536"/>
      <c r="U49" s="536"/>
      <c r="V49" s="537"/>
      <c r="W49" s="173"/>
    </row>
    <row r="50" spans="2:23" ht="24" customHeight="1">
      <c r="B50" s="539"/>
      <c r="C50" s="545"/>
      <c r="D50" s="1">
        <v>5</v>
      </c>
      <c r="E50" s="186">
        <f t="shared" si="27"/>
        <v>140473</v>
      </c>
      <c r="F50" s="328" t="s">
        <v>335</v>
      </c>
      <c r="G50" s="529">
        <v>120000</v>
      </c>
      <c r="H50" s="530"/>
      <c r="I50" s="181">
        <v>2473</v>
      </c>
      <c r="J50" s="528">
        <v>3000</v>
      </c>
      <c r="K50" s="528"/>
      <c r="L50" s="531">
        <v>9000</v>
      </c>
      <c r="M50" s="531"/>
      <c r="N50" s="182">
        <f t="shared" si="28"/>
        <v>6000</v>
      </c>
      <c r="O50" s="180"/>
      <c r="P50" s="535" t="s">
        <v>341</v>
      </c>
      <c r="Q50" s="536"/>
      <c r="R50" s="536"/>
      <c r="S50" s="536"/>
      <c r="T50" s="536"/>
      <c r="U50" s="536"/>
      <c r="V50" s="537"/>
      <c r="W50" s="173"/>
    </row>
    <row r="51" spans="2:23" ht="24" customHeight="1">
      <c r="B51" s="539"/>
      <c r="C51" s="546"/>
      <c r="D51" s="1">
        <v>6</v>
      </c>
      <c r="E51" s="186">
        <f t="shared" si="27"/>
        <v>55650</v>
      </c>
      <c r="F51" s="328" t="s">
        <v>337</v>
      </c>
      <c r="G51" s="529">
        <v>53000</v>
      </c>
      <c r="H51" s="530"/>
      <c r="I51" s="181"/>
      <c r="J51" s="528"/>
      <c r="K51" s="528"/>
      <c r="L51" s="531"/>
      <c r="M51" s="531"/>
      <c r="N51" s="182">
        <f t="shared" si="28"/>
        <v>2650</v>
      </c>
      <c r="O51" s="180"/>
      <c r="P51" s="535" t="s">
        <v>342</v>
      </c>
      <c r="Q51" s="536"/>
      <c r="R51" s="536"/>
      <c r="S51" s="536"/>
      <c r="T51" s="536"/>
      <c r="U51" s="536"/>
      <c r="V51" s="537"/>
      <c r="W51" s="173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22" sqref="I22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90"/>
      <c r="D2" s="291"/>
      <c r="E2" s="290"/>
      <c r="F2" s="291"/>
      <c r="G2" s="291"/>
    </row>
    <row r="3" spans="1:7" s="16" customFormat="1" ht="20.100000000000001" customHeight="1" thickBot="1">
      <c r="A3" s="62" t="s">
        <v>49</v>
      </c>
      <c r="B3" s="67" t="s">
        <v>69</v>
      </c>
      <c r="C3" s="290"/>
      <c r="D3" s="292"/>
      <c r="E3" s="127">
        <f>E35</f>
        <v>1406000</v>
      </c>
      <c r="F3" s="291" t="s">
        <v>1</v>
      </c>
      <c r="G3" s="291"/>
    </row>
    <row r="4" spans="1:7" s="16" customFormat="1" ht="20.100000000000001" customHeight="1" thickTop="1">
      <c r="A4" s="291"/>
      <c r="B4" s="293"/>
      <c r="C4" s="290"/>
      <c r="D4" s="291"/>
      <c r="E4" s="290"/>
      <c r="F4" s="291"/>
      <c r="G4" s="291"/>
    </row>
    <row r="5" spans="1:7" s="16" customFormat="1" ht="24.95" customHeight="1">
      <c r="A5" s="294"/>
      <c r="B5" s="295" t="s">
        <v>23</v>
      </c>
      <c r="C5" s="296" t="s">
        <v>28</v>
      </c>
      <c r="D5" s="295" t="s">
        <v>24</v>
      </c>
      <c r="E5" s="296" t="s">
        <v>25</v>
      </c>
      <c r="F5" s="295" t="s">
        <v>26</v>
      </c>
      <c r="G5" s="261" t="s">
        <v>171</v>
      </c>
    </row>
    <row r="6" spans="1:7" s="16" customFormat="1" ht="24.95" customHeight="1">
      <c r="A6" s="555" t="s">
        <v>255</v>
      </c>
      <c r="B6" s="297" t="s">
        <v>343</v>
      </c>
      <c r="C6" s="298">
        <v>5000</v>
      </c>
      <c r="D6" s="298">
        <v>45</v>
      </c>
      <c r="E6" s="299">
        <f>C6*D6</f>
        <v>225000</v>
      </c>
      <c r="F6" s="297" t="s">
        <v>344</v>
      </c>
      <c r="G6" s="294"/>
    </row>
    <row r="7" spans="1:7" s="16" customFormat="1" ht="24.95" customHeight="1">
      <c r="A7" s="556"/>
      <c r="B7" s="297"/>
      <c r="C7" s="298"/>
      <c r="D7" s="298"/>
      <c r="E7" s="299">
        <f t="shared" ref="E7:E32" si="0">C7*D7</f>
        <v>0</v>
      </c>
      <c r="F7" s="297" t="s">
        <v>345</v>
      </c>
      <c r="G7" s="294"/>
    </row>
    <row r="8" spans="1:7" s="16" customFormat="1" ht="24.95" customHeight="1">
      <c r="A8" s="556"/>
      <c r="B8" s="297"/>
      <c r="C8" s="298"/>
      <c r="D8" s="298"/>
      <c r="E8" s="299">
        <f t="shared" si="0"/>
        <v>0</v>
      </c>
      <c r="F8" s="297"/>
      <c r="G8" s="294"/>
    </row>
    <row r="9" spans="1:7" s="16" customFormat="1" ht="24.95" customHeight="1">
      <c r="A9" s="556"/>
      <c r="B9" s="297"/>
      <c r="C9" s="298"/>
      <c r="D9" s="298"/>
      <c r="E9" s="299">
        <f t="shared" si="0"/>
        <v>0</v>
      </c>
      <c r="F9" s="297"/>
      <c r="G9" s="294"/>
    </row>
    <row r="10" spans="1:7" s="16" customFormat="1" ht="24.95" customHeight="1">
      <c r="A10" s="556"/>
      <c r="B10" s="297"/>
      <c r="C10" s="298"/>
      <c r="D10" s="298"/>
      <c r="E10" s="299">
        <f t="shared" si="0"/>
        <v>0</v>
      </c>
      <c r="F10" s="297"/>
      <c r="G10" s="294"/>
    </row>
    <row r="11" spans="1:7" s="16" customFormat="1" ht="24.95" customHeight="1">
      <c r="A11" s="556"/>
      <c r="B11" s="300"/>
      <c r="C11" s="301"/>
      <c r="D11" s="301"/>
      <c r="E11" s="330">
        <f t="shared" si="0"/>
        <v>0</v>
      </c>
      <c r="F11" s="297"/>
      <c r="G11" s="294"/>
    </row>
    <row r="12" spans="1:7" s="16" customFormat="1" ht="24.95" customHeight="1" thickBot="1">
      <c r="A12" s="557"/>
      <c r="B12" s="558" t="s">
        <v>27</v>
      </c>
      <c r="C12" s="558"/>
      <c r="D12" s="558"/>
      <c r="E12" s="332">
        <f>SUM(E6:E11)</f>
        <v>225000</v>
      </c>
      <c r="F12" s="333"/>
      <c r="G12" s="294"/>
    </row>
    <row r="13" spans="1:7" s="16" customFormat="1" ht="24.95" customHeight="1">
      <c r="A13" s="551" t="s">
        <v>256</v>
      </c>
      <c r="B13" s="377" t="s">
        <v>346</v>
      </c>
      <c r="C13" s="335">
        <v>6000</v>
      </c>
      <c r="D13" s="335">
        <v>30</v>
      </c>
      <c r="E13" s="336">
        <f t="shared" si="0"/>
        <v>180000</v>
      </c>
      <c r="F13" s="297" t="s">
        <v>348</v>
      </c>
      <c r="G13" s="294"/>
    </row>
    <row r="14" spans="1:7" s="16" customFormat="1" ht="24.95" customHeight="1">
      <c r="A14" s="552"/>
      <c r="B14" s="378" t="s">
        <v>347</v>
      </c>
      <c r="C14" s="298">
        <v>15</v>
      </c>
      <c r="D14" s="298">
        <v>100</v>
      </c>
      <c r="E14" s="299">
        <f t="shared" si="0"/>
        <v>1500</v>
      </c>
      <c r="F14" s="297" t="s">
        <v>349</v>
      </c>
      <c r="G14" s="294"/>
    </row>
    <row r="15" spans="1:7" s="16" customFormat="1" ht="24.95" customHeight="1">
      <c r="A15" s="552"/>
      <c r="B15" s="378"/>
      <c r="C15" s="298"/>
      <c r="D15" s="298"/>
      <c r="E15" s="299">
        <f t="shared" si="0"/>
        <v>0</v>
      </c>
      <c r="F15" s="297"/>
      <c r="G15" s="294"/>
    </row>
    <row r="16" spans="1:7" s="16" customFormat="1" ht="24.95" customHeight="1">
      <c r="A16" s="552"/>
      <c r="B16" s="378"/>
      <c r="C16" s="373"/>
      <c r="D16" s="298"/>
      <c r="E16" s="299">
        <f t="shared" si="0"/>
        <v>0</v>
      </c>
      <c r="F16" s="297"/>
      <c r="G16" s="294"/>
    </row>
    <row r="17" spans="1:7" s="16" customFormat="1" ht="24.95" customHeight="1">
      <c r="A17" s="552"/>
      <c r="B17" s="378"/>
      <c r="C17" s="298"/>
      <c r="D17" s="298"/>
      <c r="E17" s="299">
        <f t="shared" si="0"/>
        <v>0</v>
      </c>
      <c r="F17" s="297"/>
      <c r="G17" s="294"/>
    </row>
    <row r="18" spans="1:7" s="16" customFormat="1" ht="24.95" customHeight="1">
      <c r="A18" s="552"/>
      <c r="B18" s="379"/>
      <c r="C18" s="301"/>
      <c r="D18" s="301"/>
      <c r="E18" s="330">
        <f t="shared" si="0"/>
        <v>0</v>
      </c>
      <c r="F18" s="297"/>
      <c r="G18" s="294"/>
    </row>
    <row r="19" spans="1:7" s="16" customFormat="1" ht="24.95" customHeight="1" thickBot="1">
      <c r="A19" s="553"/>
      <c r="B19" s="559" t="s">
        <v>27</v>
      </c>
      <c r="C19" s="558"/>
      <c r="D19" s="558"/>
      <c r="E19" s="332">
        <f>SUM(E13:E18)</f>
        <v>181500</v>
      </c>
      <c r="F19" s="333"/>
      <c r="G19" s="294"/>
    </row>
    <row r="20" spans="1:7" s="16" customFormat="1" ht="24.95" customHeight="1">
      <c r="A20" s="551" t="s">
        <v>257</v>
      </c>
      <c r="B20" s="334" t="s">
        <v>350</v>
      </c>
      <c r="C20" s="335">
        <v>50000</v>
      </c>
      <c r="D20" s="335">
        <v>10</v>
      </c>
      <c r="E20" s="336">
        <f t="shared" si="0"/>
        <v>500000</v>
      </c>
      <c r="F20" s="297" t="s">
        <v>351</v>
      </c>
      <c r="G20" s="294"/>
    </row>
    <row r="21" spans="1:7" s="16" customFormat="1" ht="24.95" customHeight="1">
      <c r="A21" s="552"/>
      <c r="B21" s="297"/>
      <c r="C21" s="298"/>
      <c r="D21" s="298"/>
      <c r="E21" s="299">
        <f t="shared" si="0"/>
        <v>0</v>
      </c>
      <c r="F21" s="297" t="s">
        <v>352</v>
      </c>
      <c r="G21" s="294"/>
    </row>
    <row r="22" spans="1:7" s="16" customFormat="1" ht="24.95" customHeight="1">
      <c r="A22" s="552"/>
      <c r="B22" s="297"/>
      <c r="C22" s="298"/>
      <c r="D22" s="298"/>
      <c r="E22" s="299">
        <f t="shared" si="0"/>
        <v>0</v>
      </c>
      <c r="F22" s="297"/>
      <c r="G22" s="294"/>
    </row>
    <row r="23" spans="1:7" s="16" customFormat="1" ht="24.95" customHeight="1">
      <c r="A23" s="552"/>
      <c r="B23" s="297"/>
      <c r="C23" s="298"/>
      <c r="D23" s="298"/>
      <c r="E23" s="299">
        <f t="shared" si="0"/>
        <v>0</v>
      </c>
      <c r="F23" s="297"/>
      <c r="G23" s="294"/>
    </row>
    <row r="24" spans="1:7" s="16" customFormat="1" ht="24.95" customHeight="1">
      <c r="A24" s="552"/>
      <c r="B24" s="300"/>
      <c r="C24" s="301"/>
      <c r="D24" s="301"/>
      <c r="E24" s="330">
        <f t="shared" si="0"/>
        <v>0</v>
      </c>
      <c r="F24" s="297"/>
      <c r="G24" s="294"/>
    </row>
    <row r="25" spans="1:7" s="16" customFormat="1" ht="24.95" customHeight="1" thickBot="1">
      <c r="A25" s="553"/>
      <c r="B25" s="558" t="s">
        <v>27</v>
      </c>
      <c r="C25" s="558"/>
      <c r="D25" s="558"/>
      <c r="E25" s="332">
        <f>SUM(E20:E24)</f>
        <v>500000</v>
      </c>
      <c r="F25" s="333"/>
      <c r="G25" s="294"/>
    </row>
    <row r="26" spans="1:7" s="16" customFormat="1" ht="24.95" customHeight="1">
      <c r="A26" s="551" t="s">
        <v>258</v>
      </c>
      <c r="B26" s="359" t="s">
        <v>353</v>
      </c>
      <c r="C26" s="303">
        <v>500000</v>
      </c>
      <c r="D26" s="303">
        <v>1</v>
      </c>
      <c r="E26" s="331">
        <f t="shared" si="0"/>
        <v>500000</v>
      </c>
      <c r="F26" s="359" t="s">
        <v>354</v>
      </c>
      <c r="G26" s="294"/>
    </row>
    <row r="27" spans="1:7" s="16" customFormat="1" ht="24.95" customHeight="1">
      <c r="A27" s="552"/>
      <c r="B27" s="297"/>
      <c r="C27" s="298"/>
      <c r="D27" s="298"/>
      <c r="E27" s="299">
        <f t="shared" si="0"/>
        <v>0</v>
      </c>
      <c r="F27" s="297"/>
      <c r="G27" s="294"/>
    </row>
    <row r="28" spans="1:7" s="16" customFormat="1" ht="24.95" customHeight="1">
      <c r="A28" s="552"/>
      <c r="B28" s="297"/>
      <c r="C28" s="298"/>
      <c r="D28" s="298"/>
      <c r="E28" s="299">
        <f t="shared" si="0"/>
        <v>0</v>
      </c>
      <c r="F28" s="297"/>
      <c r="G28" s="294"/>
    </row>
    <row r="29" spans="1:7" s="16" customFormat="1" ht="24.95" customHeight="1">
      <c r="A29" s="552"/>
      <c r="B29" s="297"/>
      <c r="C29" s="298"/>
      <c r="D29" s="298"/>
      <c r="E29" s="299">
        <f t="shared" si="0"/>
        <v>0</v>
      </c>
      <c r="F29" s="297"/>
      <c r="G29" s="294"/>
    </row>
    <row r="30" spans="1:7" s="16" customFormat="1" ht="24.95" customHeight="1">
      <c r="A30" s="552"/>
      <c r="B30" s="297"/>
      <c r="C30" s="298"/>
      <c r="D30" s="298"/>
      <c r="E30" s="299">
        <f t="shared" si="0"/>
        <v>0</v>
      </c>
      <c r="F30" s="297"/>
      <c r="G30" s="294"/>
    </row>
    <row r="31" spans="1:7" s="16" customFormat="1" ht="24.95" customHeight="1">
      <c r="A31" s="552"/>
      <c r="B31" s="297"/>
      <c r="C31" s="298"/>
      <c r="D31" s="298"/>
      <c r="E31" s="299">
        <f t="shared" si="0"/>
        <v>0</v>
      </c>
      <c r="F31" s="297"/>
      <c r="G31" s="294"/>
    </row>
    <row r="32" spans="1:7" s="16" customFormat="1" ht="24.95" customHeight="1">
      <c r="A32" s="552"/>
      <c r="B32" s="300"/>
      <c r="C32" s="301"/>
      <c r="D32" s="301"/>
      <c r="E32" s="330">
        <f t="shared" si="0"/>
        <v>0</v>
      </c>
      <c r="F32" s="297"/>
      <c r="G32" s="294"/>
    </row>
    <row r="33" spans="1:7" s="16" customFormat="1" ht="24.95" customHeight="1" thickBot="1">
      <c r="A33" s="553"/>
      <c r="B33" s="554" t="s">
        <v>27</v>
      </c>
      <c r="C33" s="554"/>
      <c r="D33" s="554"/>
      <c r="E33" s="330">
        <f>SUM(E26:E32)</f>
        <v>500000</v>
      </c>
      <c r="F33" s="338"/>
      <c r="G33" s="294"/>
    </row>
    <row r="34" spans="1:7" s="16" customFormat="1" ht="24.95" customHeight="1" thickBot="1">
      <c r="A34" s="548" t="s">
        <v>254</v>
      </c>
      <c r="B34" s="549"/>
      <c r="C34" s="549"/>
      <c r="D34" s="550"/>
      <c r="E34" s="302">
        <f>E12+E19+E25+E33</f>
        <v>1406500</v>
      </c>
      <c r="F34" s="337"/>
      <c r="G34" s="292"/>
    </row>
    <row r="35" spans="1:7" s="16" customFormat="1" ht="31.5" customHeight="1" thickBot="1">
      <c r="A35" s="291"/>
      <c r="B35" s="291"/>
      <c r="C35" s="290"/>
      <c r="D35" s="86" t="s">
        <v>93</v>
      </c>
      <c r="E35" s="376">
        <f>ROUNDDOWN(E34,-3)</f>
        <v>1406000</v>
      </c>
      <c r="F35" s="291"/>
      <c r="G35" s="292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M25" sqref="M25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154</v>
      </c>
      <c r="B2" s="70" t="s">
        <v>3</v>
      </c>
      <c r="C2" s="304"/>
      <c r="D2" s="291"/>
      <c r="E2" s="291"/>
      <c r="F2" s="291"/>
      <c r="G2" s="304"/>
      <c r="H2" s="291"/>
    </row>
    <row r="3" spans="1:11">
      <c r="A3" s="62"/>
      <c r="B3" s="6"/>
      <c r="C3" s="304"/>
      <c r="D3" s="291"/>
      <c r="E3" s="292"/>
      <c r="F3" s="291"/>
      <c r="G3" s="304"/>
      <c r="H3" s="291"/>
    </row>
    <row r="4" spans="1:11" ht="27" customHeight="1" thickBot="1">
      <c r="A4" s="262" t="s">
        <v>185</v>
      </c>
      <c r="B4" s="81" t="s">
        <v>155</v>
      </c>
      <c r="C4" s="95"/>
      <c r="D4" s="96"/>
      <c r="E4" s="574">
        <f>E6+E16</f>
        <v>988000</v>
      </c>
      <c r="F4" s="574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156</v>
      </c>
      <c r="C6" s="95"/>
      <c r="D6" s="96"/>
      <c r="E6" s="575">
        <f>G14</f>
        <v>535000</v>
      </c>
      <c r="F6" s="576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5" t="s">
        <v>157</v>
      </c>
      <c r="C8" s="495"/>
      <c r="D8" s="343" t="s">
        <v>158</v>
      </c>
      <c r="E8" s="564" t="s">
        <v>29</v>
      </c>
      <c r="F8" s="565"/>
      <c r="G8" s="197" t="s">
        <v>30</v>
      </c>
      <c r="H8" s="323"/>
      <c r="I8" s="261" t="s">
        <v>171</v>
      </c>
    </row>
    <row r="9" spans="1:11" ht="30" customHeight="1">
      <c r="A9" s="81"/>
      <c r="B9" s="560" t="s">
        <v>355</v>
      </c>
      <c r="C9" s="561"/>
      <c r="D9" s="198">
        <v>5</v>
      </c>
      <c r="E9" s="562">
        <v>107000</v>
      </c>
      <c r="F9" s="563"/>
      <c r="G9" s="185">
        <f>D9*E9</f>
        <v>535000</v>
      </c>
      <c r="H9" s="292"/>
      <c r="I9" s="294"/>
    </row>
    <row r="10" spans="1:11" ht="30" customHeight="1">
      <c r="A10" s="81"/>
      <c r="B10" s="560"/>
      <c r="C10" s="561"/>
      <c r="D10" s="198"/>
      <c r="E10" s="562"/>
      <c r="F10" s="563"/>
      <c r="G10" s="185">
        <f t="shared" ref="G10:G12" si="0">D10*E10</f>
        <v>0</v>
      </c>
      <c r="H10" s="292"/>
      <c r="I10" s="294"/>
    </row>
    <row r="11" spans="1:11" ht="30" customHeight="1">
      <c r="A11" s="81"/>
      <c r="B11" s="560"/>
      <c r="C11" s="561"/>
      <c r="D11" s="198"/>
      <c r="E11" s="562"/>
      <c r="F11" s="563"/>
      <c r="G11" s="185">
        <f t="shared" si="0"/>
        <v>0</v>
      </c>
      <c r="H11" s="292"/>
      <c r="I11" s="294"/>
    </row>
    <row r="12" spans="1:11" ht="30" customHeight="1" thickBot="1">
      <c r="A12" s="81"/>
      <c r="B12" s="568"/>
      <c r="C12" s="569"/>
      <c r="D12" s="199"/>
      <c r="E12" s="570"/>
      <c r="F12" s="571"/>
      <c r="G12" s="324">
        <f t="shared" si="0"/>
        <v>0</v>
      </c>
      <c r="H12" s="292"/>
      <c r="I12" s="294"/>
    </row>
    <row r="13" spans="1:11" ht="30" customHeight="1" thickBot="1">
      <c r="A13" s="81"/>
      <c r="B13" s="572" t="s">
        <v>27</v>
      </c>
      <c r="C13" s="573"/>
      <c r="D13" s="573"/>
      <c r="E13" s="573"/>
      <c r="F13" s="573"/>
      <c r="G13" s="200">
        <f>SUM(G9:G12)</f>
        <v>535000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6">
        <f>ROUNDDOWN(G13,-3)</f>
        <v>535000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159</v>
      </c>
      <c r="C16" s="95"/>
      <c r="D16" s="96"/>
      <c r="E16" s="575">
        <f>G21</f>
        <v>453000</v>
      </c>
      <c r="F16" s="576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160</v>
      </c>
      <c r="E18" s="204">
        <v>6</v>
      </c>
      <c r="F18" s="98" t="s">
        <v>161</v>
      </c>
      <c r="G18" s="305">
        <f>B18*E18</f>
        <v>453000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161</v>
      </c>
      <c r="G19" s="305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6">
        <f>SUM(G18:G19)</f>
        <v>453000</v>
      </c>
      <c r="H20" s="81"/>
      <c r="K20" s="3"/>
    </row>
    <row r="21" spans="1:11" ht="20.25" customHeight="1" thickBot="1">
      <c r="A21" s="196"/>
      <c r="B21" s="342"/>
      <c r="C21" s="207"/>
      <c r="D21" s="208"/>
      <c r="E21" s="567" t="s">
        <v>93</v>
      </c>
      <c r="F21" s="567"/>
      <c r="G21" s="376">
        <f>ROUNDDOWN(G20,-3)</f>
        <v>453000</v>
      </c>
      <c r="H21" s="81" t="s">
        <v>1</v>
      </c>
      <c r="K21" s="3"/>
    </row>
    <row r="22" spans="1:11" ht="20.25" customHeight="1">
      <c r="A22" s="196"/>
      <c r="B22" s="342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74">
        <f>G28</f>
        <v>980000</v>
      </c>
      <c r="F23" s="574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187</v>
      </c>
      <c r="C25" s="123"/>
      <c r="D25" s="81"/>
      <c r="E25" s="81" t="s">
        <v>44</v>
      </c>
      <c r="F25" s="81"/>
      <c r="G25" s="97"/>
      <c r="H25" s="81"/>
    </row>
    <row r="26" spans="1:11" ht="20.25" customHeight="1">
      <c r="A26" s="81"/>
      <c r="B26" s="458" t="s">
        <v>162</v>
      </c>
      <c r="C26" s="123"/>
      <c r="D26" s="81"/>
      <c r="E26" s="81"/>
      <c r="F26" s="81"/>
      <c r="G26" s="97"/>
      <c r="H26" s="81"/>
    </row>
    <row r="27" spans="1:11" ht="30" customHeight="1" thickBot="1">
      <c r="A27" s="272"/>
      <c r="B27" s="566">
        <f>様式2_3機材!$E$5+様式2_4旅費!$F$4+様式2_4旅費!$F$6+様式2_5現地活動費!$E$3+'様式2_6本邦受入活動費&amp;管理費'!$E$6</f>
        <v>9802000</v>
      </c>
      <c r="C27" s="566">
        <f>$E$5+様式2_4旅費!$F$4+様式2_4旅費!$F$6+様式2_5現地活動費!$E$3+'様式2_6本邦受入活動費&amp;管理費'!$E$6</f>
        <v>7152000</v>
      </c>
      <c r="D27" s="81" t="s">
        <v>32</v>
      </c>
      <c r="E27" s="101">
        <v>10</v>
      </c>
      <c r="F27" s="102" t="s">
        <v>163</v>
      </c>
      <c r="G27" s="307">
        <f>ROUNDDOWN(B27*E27/100,0)</f>
        <v>980200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67" t="s">
        <v>93</v>
      </c>
      <c r="F28" s="567"/>
      <c r="G28" s="126">
        <f>ROUNDDOWN(G27,-3)</f>
        <v>980000</v>
      </c>
      <c r="H28" s="100" t="s">
        <v>47</v>
      </c>
    </row>
    <row r="29" spans="1:11">
      <c r="A29" s="291"/>
      <c r="B29" s="291"/>
      <c r="C29" s="304"/>
      <c r="D29" s="291"/>
      <c r="E29" s="291"/>
      <c r="F29" s="291"/>
      <c r="G29" s="304"/>
      <c r="H29" s="291"/>
    </row>
    <row r="30" spans="1:11">
      <c r="A30" s="291"/>
      <c r="B30" s="291"/>
      <c r="C30" s="304"/>
      <c r="D30" s="291"/>
      <c r="E30" s="291"/>
      <c r="F30" s="291"/>
      <c r="G30" s="304"/>
      <c r="H30" s="291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goto</cp:lastModifiedBy>
  <cp:lastPrinted>2017-01-17T02:01:17Z</cp:lastPrinted>
  <dcterms:created xsi:type="dcterms:W3CDTF">2013-03-18T00:38:39Z</dcterms:created>
  <dcterms:modified xsi:type="dcterms:W3CDTF">2017-02-15T01:09:12Z</dcterms:modified>
</cp:coreProperties>
</file>