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1760" tabRatio="903" activeTab="5"/>
  </bookViews>
  <sheets>
    <sheet name="入力方法" sheetId="14" r:id="rId1"/>
    <sheet name="従事者明細" sheetId="11" r:id="rId2"/>
    <sheet name=" 表紙" sheetId="17" state="hidden" r:id="rId3"/>
    <sheet name=" 表紙2" sheetId="20" state="hidden" r:id="rId4"/>
    <sheet name="様式1" sheetId="1" r:id="rId5"/>
    <sheet name="様式2_1人件費" sheetId="6" r:id="rId6"/>
    <sheet name="様式2_2その他原価・一般管理費" sheetId="7" r:id="rId7"/>
    <sheet name="様式2_3機材" sheetId="4" r:id="rId8"/>
    <sheet name="様式2_4旅費" sheetId="3" r:id="rId9"/>
    <sheet name="様式2_5現地活動費" sheetId="10" r:id="rId10"/>
    <sheet name="様式2_6本邦受入活動費" sheetId="21" r:id="rId11"/>
    <sheet name="機材様式（別紙明細）" sheetId="8" r:id="rId12"/>
    <sheet name="年度毎内訳" sheetId="16" state="hidden" r:id="rId13"/>
    <sheet name="業務従事者名簿" sheetId="12" r:id="rId14"/>
    <sheet name="Sheet2" sheetId="1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2">' 表紙'!$A$1:$I$43</definedName>
    <definedName name="_xlnm.Print_Area" localSheetId="3">' 表紙2'!$A$1:$I$43</definedName>
    <definedName name="_xlnm.Print_Area" localSheetId="11">'機材様式（別紙明細）'!$A$1:$L$32</definedName>
    <definedName name="_xlnm.Print_Area" localSheetId="13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2">年度毎内訳!$A$1:$I$22</definedName>
    <definedName name="_xlnm.Print_Area" localSheetId="4">様式1!$A$1:$H$37</definedName>
    <definedName name="_xlnm.Print_Area" localSheetId="5">様式2_1人件費!$A$1:$J$67</definedName>
    <definedName name="_xlnm.Print_Area" localSheetId="6">様式2_2その他原価・一般管理費!$A$1:$M$47</definedName>
    <definedName name="_xlnm.Print_Area" localSheetId="7">様式2_3機材!$A$1:$G$45</definedName>
    <definedName name="_xlnm.Print_Area" localSheetId="8">様式2_4旅費!$A$1:$V$51</definedName>
    <definedName name="_xlnm.Print_Area" localSheetId="9">様式2_5現地活動費!$A$1:$F$35</definedName>
    <definedName name="_xlnm.Print_Area" localSheetId="10">様式2_6本邦受入活動費!$A$1:$H$34</definedName>
    <definedName name="_xlnm.Print_Titles" localSheetId="13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4" hidden="1">様式1!$B$4:$H$36</definedName>
    <definedName name="Z_10FF6128_C413_492A_97F7_F629334DAAC5_.wvu.PrintArea" localSheetId="8" hidden="1">様式2_4旅費!$B$7:$V$46</definedName>
    <definedName name="Z_23354667_189C_4570_A62C_5B2458A64BD0_.wvu.PrintArea" localSheetId="12" hidden="1">年度毎内訳!$A$1:$D$22</definedName>
    <definedName name="Z_23354667_189C_4570_A62C_5B2458A64BD0_.wvu.PrintArea" localSheetId="4" hidden="1">様式1!$B$4:$H$36</definedName>
    <definedName name="Z_23354667_189C_4570_A62C_5B2458A64BD0_.wvu.PrintArea" localSheetId="8" hidden="1">様式2_4旅費!$B$7:$V$46</definedName>
    <definedName name="契約" localSheetId="10">様式1!$O$4:$O$6</definedName>
    <definedName name="契約">様式1!$O$4:$O$6</definedName>
    <definedName name="契約金額" localSheetId="10">入力方法!$P$2:$P$4</definedName>
    <definedName name="契約金額">入力方法!$P$2:$P$4</definedName>
    <definedName name="経路" localSheetId="10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10">[1]単価!$G$3:$G$6</definedName>
    <definedName name="処理">[2]単価!$G$3:$G$6</definedName>
    <definedName name="打合簿" localSheetId="0">[3]単価・従事者明細!$U$3:$U$4</definedName>
    <definedName name="打合簿" localSheetId="10">[4]単価・従事者明細!$U$3:$U$4</definedName>
    <definedName name="打合簿">[5]単価・従事者明細!$U$3:$U$4</definedName>
    <definedName name="内外選択" localSheetId="10">[1]単価!$F$3:$F$4</definedName>
    <definedName name="内外選択">[2]単価!$F$3:$F$4</definedName>
    <definedName name="日当">様式2_4旅費!$AA$2:$AA$5</definedName>
    <definedName name="分類" localSheetId="10">従事者明細!$K$3:$K$6</definedName>
    <definedName name="分類">従事者明細!$U$3:$U$6</definedName>
    <definedName name="様式番号" localSheetId="10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K1" i="8" l="1"/>
  <c r="G1" i="21"/>
  <c r="F1" i="10"/>
  <c r="V1" i="3"/>
  <c r="G1" i="4"/>
  <c r="M1" i="7"/>
  <c r="J1" i="6"/>
  <c r="G1" i="1"/>
  <c r="F20" i="16" l="1"/>
  <c r="E20" i="16"/>
  <c r="H19" i="16"/>
  <c r="H18" i="16"/>
  <c r="H17" i="16"/>
  <c r="H16" i="16"/>
  <c r="H15" i="16"/>
  <c r="H14" i="16"/>
  <c r="H13" i="16"/>
  <c r="H12" i="16"/>
  <c r="G12" i="16"/>
  <c r="F12" i="16"/>
  <c r="E12" i="16"/>
  <c r="H11" i="16"/>
  <c r="H10" i="16"/>
  <c r="H9" i="16"/>
  <c r="G8" i="16"/>
  <c r="G20" i="16" s="1"/>
  <c r="F8" i="16"/>
  <c r="E8" i="16"/>
  <c r="G21" i="16" l="1"/>
  <c r="G22" i="16" s="1"/>
  <c r="H20" i="16"/>
  <c r="E21" i="16"/>
  <c r="E22" i="16"/>
  <c r="H8" i="16"/>
  <c r="F21" i="16"/>
  <c r="F22" i="16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9" i="3"/>
  <c r="H21" i="16" l="1"/>
  <c r="H22" i="16" s="1"/>
  <c r="T16" i="3"/>
  <c r="N16" i="3"/>
  <c r="G16" i="3"/>
  <c r="E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G14" i="3"/>
  <c r="C14" i="3"/>
  <c r="B14" i="3"/>
  <c r="T12" i="3"/>
  <c r="N12" i="3"/>
  <c r="V12" i="3" s="1"/>
  <c r="G12" i="3"/>
  <c r="C12" i="3"/>
  <c r="B12" i="3"/>
  <c r="T13" i="3"/>
  <c r="N13" i="3"/>
  <c r="V13" i="3" s="1"/>
  <c r="G13" i="3"/>
  <c r="C13" i="3"/>
  <c r="B13" i="3"/>
  <c r="V14" i="3" l="1"/>
  <c r="V16" i="3"/>
  <c r="G30" i="1"/>
  <c r="G24" i="21"/>
  <c r="G25" i="21" s="1"/>
  <c r="E22" i="21" s="1"/>
  <c r="G18" i="21"/>
  <c r="G17" i="21"/>
  <c r="G16" i="21"/>
  <c r="G15" i="21"/>
  <c r="G14" i="21"/>
  <c r="G13" i="21"/>
  <c r="G12" i="21"/>
  <c r="G11" i="21"/>
  <c r="G10" i="21"/>
  <c r="G9" i="21"/>
  <c r="G19" i="21" s="1"/>
  <c r="G20" i="21" s="1"/>
  <c r="E6" i="21" s="1"/>
  <c r="E4" i="21" s="1"/>
  <c r="E49" i="3" l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N50" i="3"/>
  <c r="E50" i="3" s="1"/>
  <c r="N46" i="3"/>
  <c r="E4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2" i="11"/>
  <c r="K32" i="11"/>
  <c r="L32" i="11"/>
  <c r="J33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J4" i="11"/>
  <c r="J5" i="11"/>
  <c r="J6" i="11"/>
  <c r="J7" i="11"/>
  <c r="J8" i="11"/>
  <c r="J9" i="11"/>
  <c r="J10" i="11"/>
  <c r="J11" i="11"/>
  <c r="J12" i="11"/>
  <c r="J13" i="11"/>
  <c r="J14" i="11"/>
  <c r="E19" i="6" s="1"/>
  <c r="J15" i="11"/>
  <c r="E20" i="6" s="1"/>
  <c r="J16" i="11"/>
  <c r="E21" i="6" s="1"/>
  <c r="J17" i="11"/>
  <c r="J18" i="11"/>
  <c r="J19" i="11"/>
  <c r="J20" i="11"/>
  <c r="J21" i="11"/>
  <c r="J22" i="11"/>
  <c r="J3" i="11"/>
  <c r="E39" i="6" s="1"/>
  <c r="E40" i="6" l="1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V17" i="3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3" i="21" s="1"/>
  <c r="G33" i="21" s="1"/>
  <c r="G34" i="21" s="1"/>
  <c r="G64" i="6"/>
  <c r="G65" i="6" s="1"/>
  <c r="G25" i="1"/>
  <c r="H57" i="6"/>
  <c r="G24" i="1"/>
  <c r="G36" i="6"/>
  <c r="E29" i="21" l="1"/>
  <c r="G32" i="1"/>
  <c r="E11" i="6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C30" i="17" l="1"/>
  <c r="E11" i="1"/>
  <c r="C30" i="20"/>
  <c r="H30" i="20"/>
  <c r="H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<sst xmlns="http://schemas.openxmlformats.org/spreadsheetml/2006/main" count="721" uniqueCount="340">
  <si>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</si>
  <si>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</si>
  <si>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</si>
  <si>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</si>
  <si>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</si>
  <si>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</si>
  <si>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</si>
  <si>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</si>
  <si>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</si>
  <si>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</si>
  <si>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</si>
  <si>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</si>
  <si>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</si>
  <si>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</si>
  <si>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</si>
  <si>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</si>
  <si>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</si>
  <si>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</si>
  <si>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</si>
  <si>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</si>
  <si>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</si>
  <si>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</si>
  <si>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</si>
  <si>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</si>
  <si>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</si>
  <si>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</si>
  <si>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</si>
  <si>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</si>
  <si>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</si>
  <si>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</si>
  <si>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</si>
  <si>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</si>
  <si>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</si>
  <si>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</si>
  <si>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</si>
  <si>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</si>
  <si>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</si>
  <si>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</si>
  <si>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</si>
  <si>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</si>
  <si>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</si>
  <si>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</si>
  <si>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</si>
  <si>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</si>
  <si>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</si>
  <si>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</si>
  <si>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</si>
  <si>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</si>
  <si>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</si>
  <si>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</si>
  <si>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</si>
  <si>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</si>
  <si>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</si>
  <si>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</si>
  <si>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</si>
  <si>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</si>
  <si>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</si>
  <si>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</si>
  <si>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</si>
  <si>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</si>
  <si>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</si>
  <si>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</si>
  <si>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</si>
  <si>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</si>
  <si>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</si>
  <si>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</si>
  <si>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</si>
  <si>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</si>
  <si>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</si>
  <si>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</si>
  <si>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</si>
  <si>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</si>
  <si>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</si>
  <si>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</si>
  <si>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</si>
  <si>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</si>
  <si>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</si>
  <si>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</si>
  <si>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</si>
  <si>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</si>
  <si>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</si>
  <si>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</si>
  <si>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</si>
  <si>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</si>
  <si>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</si>
  <si>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</si>
  <si>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</si>
  <si>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</si>
  <si>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</si>
  <si>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</si>
  <si>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</si>
  <si>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</si>
  <si>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</si>
  <si>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</si>
  <si>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</si>
  <si>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</si>
  <si>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</si>
  <si>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</si>
  <si>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</si>
  <si>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</si>
  <si>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</si>
  <si>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</si>
  <si>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</si>
  <si>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</si>
  <si>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</si>
  <si>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</si>
  <si>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</si>
  <si>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</si>
  <si>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</si>
  <si>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</si>
  <si>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</si>
  <si>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</si>
  <si>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</si>
  <si>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</si>
  <si>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</si>
  <si>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</si>
  <si>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</si>
  <si>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</si>
  <si>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</si>
  <si>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</si>
  <si>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</si>
  <si>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</si>
  <si>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</si>
  <si>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</si>
  <si>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</si>
  <si>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</si>
  <si>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</si>
  <si>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</si>
  <si>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</si>
  <si>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</si>
  <si>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</si>
  <si>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</si>
  <si>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</si>
  <si>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</si>
  <si>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</si>
  <si>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</si>
  <si>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</si>
  <si>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</si>
  <si>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</si>
  <si>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</si>
  <si>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</si>
  <si>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</si>
  <si>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</si>
  <si>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</si>
  <si>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</si>
  <si>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</si>
  <si>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</si>
  <si>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</si>
  <si>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</si>
  <si>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</si>
  <si>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</si>
  <si>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</si>
  <si>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</si>
  <si>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</si>
  <si>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</si>
  <si>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</si>
  <si>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</si>
  <si>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</si>
  <si>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</si>
  <si>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</si>
  <si>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</si>
  <si>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</si>
  <si>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</si>
  <si>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</si>
  <si>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</si>
  <si>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</si>
  <si>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</si>
  <si>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</si>
  <si>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</si>
  <si>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</si>
  <si>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</si>
  <si>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</si>
  <si>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</si>
  <si>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</si>
  <si>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</si>
  <si>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</si>
  <si>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</si>
  <si>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</si>
  <si>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</si>
  <si>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</si>
  <si>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</si>
  <si>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</si>
  <si>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</si>
  <si>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</si>
  <si>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</si>
  <si>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</si>
  <si>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</si>
  <si>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</si>
  <si>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</si>
  <si>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</si>
  <si>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</si>
  <si>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</si>
  <si>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</si>
  <si>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</si>
  <si>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</si>
  <si>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</si>
  <si>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</si>
  <si>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</si>
  <si>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</si>
  <si>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</si>
  <si>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</si>
  <si>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</si>
  <si>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</si>
  <si>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</si>
  <si>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</si>
  <si>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</si>
  <si>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</si>
  <si>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</si>
  <si>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</si>
  <si>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</si>
  <si>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</si>
  <si>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</si>
  <si>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</si>
  <si>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</si>
  <si>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</si>
  <si>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</si>
  <si>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</si>
  <si>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</si>
  <si>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</si>
  <si>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</si>
  <si>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</si>
  <si>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</si>
  <si>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</si>
  <si>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</si>
  <si>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</si>
  <si>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</si>
  <si>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</si>
  <si>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</si>
  <si>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</si>
  <si>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</si>
  <si>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</si>
  <si>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</si>
  <si>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</si>
  <si>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</si>
  <si>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</si>
  <si>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</si>
  <si>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</si>
  <si>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</si>
  <si>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</si>
  <si>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</si>
  <si>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</si>
  <si>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</si>
  <si>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</si>
  <si>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</si>
  <si>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</si>
  <si>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</si>
  <si>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</si>
  <si>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</si>
  <si>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</si>
  <si>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</si>
  <si>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田中　正樹（日本）</t>
    <rPh sb="0" eb="2">
      <t>タナカ</t>
    </rPh>
    <rPh sb="3" eb="5">
      <t>マサキ</t>
    </rPh>
    <rPh sb="6" eb="8">
      <t>ニホン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</si>
  <si>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</si>
  <si>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㈱YXZホールティングス</t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</si>
  <si>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</si>
  <si>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本田　慶介（日本）</t>
    <rPh sb="0" eb="2">
      <t>ホンダ</t>
    </rPh>
    <rPh sb="3" eb="5">
      <t>ケイスケ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</si>
  <si>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</si>
  <si>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</si>
  <si>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</si>
  <si>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>阿部　一朗（日本）</t>
    <rPh sb="0" eb="2">
      <t>アベ</t>
    </rPh>
    <rPh sb="3" eb="4">
      <t>イチ</t>
    </rPh>
    <rPh sb="4" eb="5">
      <t>ロウ</t>
    </rPh>
    <phoneticPr fontId="2"/>
  </si>
  <si>
    <t>開発課題2/市場調査</t>
    <rPh sb="0" eb="2">
      <t>カイハツ</t>
    </rPh>
    <rPh sb="2" eb="4">
      <t>カダイ</t>
    </rPh>
    <rPh sb="6" eb="8">
      <t>シジョウ</t>
    </rPh>
    <rPh sb="8" eb="10">
      <t>チョウサ</t>
    </rPh>
    <phoneticPr fontId="2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</si>
  <si>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</si>
  <si>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</si>
  <si>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半沢　直樹（日本）</t>
    <rPh sb="0" eb="2">
      <t>ハンザワ</t>
    </rPh>
    <rPh sb="3" eb="5">
      <t>ナオキ</t>
    </rPh>
    <phoneticPr fontId="2"/>
  </si>
  <si>
    <t>パートナー連携</t>
    <rPh sb="5" eb="7">
      <t>レンケイ</t>
    </rPh>
    <phoneticPr fontId="2"/>
  </si>
  <si>
    <t>国際　太郎（ベトナム）</t>
    <rPh sb="0" eb="2">
      <t>コクサイ</t>
    </rPh>
    <rPh sb="3" eb="5">
      <t>タロウ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</si>
  <si>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</si>
  <si>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㈱OPQ貿易</t>
    <rPh sb="4" eb="6">
      <t>ボウエキ</t>
    </rPh>
    <phoneticPr fontId="2"/>
  </si>
  <si>
    <t>鈴木　花子（日本）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</si>
  <si>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</si>
  <si>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</si>
  <si>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</si>
  <si>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</si>
  <si>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</si>
  <si>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</si>
  <si>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</si>
  <si>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</si>
  <si>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　　標記業務に係る見積書を下記のとおり提出いたします。</t>
    <rPh sb="9" eb="12">
      <t>ミツモリショ</t>
    </rPh>
    <phoneticPr fontId="5"/>
  </si>
  <si>
    <t>に係る見積書の提出について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</si>
  <si>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</si>
  <si>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</si>
  <si>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</si>
  <si>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</si>
  <si>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</si>
  <si>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</si>
  <si>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</si>
  <si>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</si>
  <si>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</si>
  <si>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</si>
  <si>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</si>
  <si>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</si>
  <si>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</si>
  <si>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1　見積金額：</t>
    <rPh sb="2" eb="4">
      <t>ミツモ</t>
    </rPh>
    <rPh sb="4" eb="6">
      <t>キンガク</t>
    </rPh>
    <phoneticPr fontId="5"/>
  </si>
  <si>
    <t>2　見積金額内訳：別紙のとおり</t>
    <rPh sb="2" eb="4">
      <t>ミツモ</t>
    </rPh>
    <rPh sb="4" eb="6">
      <t>キンガク</t>
    </rPh>
    <rPh sb="6" eb="8">
      <t>ウチワケ</t>
    </rPh>
    <rPh sb="9" eb="11">
      <t>ベッシ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</si>
  <si>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</si>
  <si>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現地内移動</t>
    <rPh sb="0" eb="2">
      <t>ゲンチ</t>
    </rPh>
    <rPh sb="2" eb="3">
      <t>ナイ</t>
    </rPh>
    <rPh sb="3" eb="5">
      <t>イドウ</t>
    </rPh>
    <phoneticPr fontId="3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</si>
  <si>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</si>
  <si>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</si>
  <si>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現地調査</t>
    <rPh sb="0" eb="4">
      <t>ゲンチチョウサ</t>
    </rPh>
    <phoneticPr fontId="2"/>
  </si>
  <si>
    <t>移動費</t>
    <rPh sb="0" eb="2">
      <t>イドウ</t>
    </rPh>
    <rPh sb="2" eb="3">
      <t>ヒ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</si>
  <si>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</si>
  <si>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</si>
  <si>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</si>
  <si>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</si>
  <si>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</si>
  <si>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</si>
  <si>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</si>
  <si>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</si>
  <si>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</si>
  <si>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</si>
  <si>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</si>
  <si>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</si>
  <si>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</si>
  <si>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</si>
  <si>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</si>
  <si>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</si>
  <si>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</si>
  <si>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</si>
  <si>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</si>
  <si>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</si>
  <si>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</si>
  <si>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</si>
  <si>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</si>
  <si>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</si>
  <si>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</si>
  <si>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</si>
  <si>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</si>
  <si>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</si>
  <si>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</si>
  <si>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</si>
  <si>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</si>
  <si>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</si>
  <si>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</si>
  <si>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2015年度第1回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</si>
  <si>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○○○国○○○○○○○○○普及促進事業</t>
    <rPh sb="13" eb="15">
      <t>フキュウ</t>
    </rPh>
    <rPh sb="15" eb="17">
      <t>ソクシン</t>
    </rPh>
    <rPh sb="17" eb="19">
      <t>ジギョウ</t>
    </rPh>
    <phoneticPr fontId="2"/>
  </si>
  <si>
    <t>【普及促進　見積金額内訳書作成方法】</t>
  </si>
  <si>
    <t>【普及促進　契約金額内訳書作成方法】</t>
    <rPh sb="6" eb="8">
      <t>ケイヤク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</si>
  <si>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</si>
  <si>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</si>
  <si>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様式１</t>
    <rPh sb="0" eb="2">
      <t>ヨウシキ</t>
    </rPh>
    <phoneticPr fontId="2"/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</si>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</sst>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9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44" fillId="0" borderId="1" xfId="3" applyNumberFormat="1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6" fillId="3" borderId="0" xfId="0" applyFont="1" applyFill="1" applyAlignment="1" applyProtection="1">
      <alignment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CCFF"/>
      <color rgb="FF99FFCC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0</xdr:rowOff>
    </xdr:from>
    <xdr:to>
      <xdr:col>12</xdr:col>
      <xdr:colOff>219075</xdr:colOff>
      <xdr:row>7</xdr:row>
      <xdr:rowOff>114300</xdr:rowOff>
    </xdr:to>
    <xdr:sp macro="" textlink="">
      <xdr:nvSpPr>
        <xdr:cNvPr id="3" name="円形吹き出し 2"/>
        <xdr:cNvSpPr/>
      </xdr:nvSpPr>
      <xdr:spPr>
        <a:xfrm>
          <a:off x="7286625" y="523875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57150</xdr:rowOff>
    </xdr:from>
    <xdr:to>
      <xdr:col>7</xdr:col>
      <xdr:colOff>104775</xdr:colOff>
      <xdr:row>16</xdr:row>
      <xdr:rowOff>57149</xdr:rowOff>
    </xdr:to>
    <xdr:sp macro="" textlink="">
      <xdr:nvSpPr>
        <xdr:cNvPr id="4" name="角丸四角形吹き出し 3"/>
        <xdr:cNvSpPr/>
      </xdr:nvSpPr>
      <xdr:spPr>
        <a:xfrm>
          <a:off x="5419725" y="2257425"/>
          <a:ext cx="2247900" cy="523874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196008</xdr:colOff>
      <xdr:row>0</xdr:row>
      <xdr:rowOff>117432</xdr:rowOff>
    </xdr:from>
    <xdr:to>
      <xdr:col>16</xdr:col>
      <xdr:colOff>367516</xdr:colOff>
      <xdr:row>5</xdr:row>
      <xdr:rowOff>215230</xdr:rowOff>
    </xdr:to>
    <xdr:sp macro="" textlink="">
      <xdr:nvSpPr>
        <xdr:cNvPr id="4" name="角丸四角形吹き出し 3"/>
        <xdr:cNvSpPr/>
      </xdr:nvSpPr>
      <xdr:spPr>
        <a:xfrm>
          <a:off x="6171967" y="117432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/>
  </xdr:twoCellAnchor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zoomScaleNormal="100" zoomScaleSheetLayoutView="100" workbookViewId="0">
      <selection activeCell="S13" sqref="S13"/>
    </sheetView>
  </sheetViews>
  <sheetFormatPr defaultRowHeight="14.25"/>
  <cols>
    <col min="1" max="1" width="3.5" bestFit="1" customWidth="1"/>
  </cols>
  <sheetData>
    <row r="1" spans="1:16" ht="43.5" customHeight="1">
      <c r="B1" s="391" t="s">
        <v>334</v>
      </c>
      <c r="C1" s="391"/>
      <c r="D1" s="391"/>
      <c r="E1" s="391"/>
      <c r="F1" s="391"/>
      <c r="G1" s="391"/>
      <c r="H1" s="391"/>
      <c r="I1" s="391"/>
      <c r="J1" s="391"/>
      <c r="K1" s="391"/>
    </row>
    <row r="2" spans="1:16" ht="22.5" customHeight="1">
      <c r="B2" s="233" t="s">
        <v>155</v>
      </c>
      <c r="C2" s="234"/>
      <c r="D2" s="234"/>
      <c r="E2" s="234"/>
      <c r="F2" s="234"/>
      <c r="G2" s="234"/>
      <c r="H2" s="234"/>
      <c r="P2" s="236" t="s">
        <v>334</v>
      </c>
    </row>
    <row r="3" spans="1:16" ht="18" customHeight="1">
      <c r="A3">
        <v>1</v>
      </c>
      <c r="B3" t="s">
        <v>156</v>
      </c>
      <c r="P3" s="236" t="s">
        <v>335</v>
      </c>
    </row>
    <row r="4" spans="1:16" ht="18" customHeight="1">
      <c r="A4">
        <v>2</v>
      </c>
      <c r="B4" t="s">
        <v>328</v>
      </c>
    </row>
    <row r="5" spans="1:16" ht="18" customHeight="1">
      <c r="B5" t="s">
        <v>329</v>
      </c>
    </row>
    <row r="6" spans="1:16" ht="18" customHeight="1">
      <c r="A6">
        <v>3</v>
      </c>
      <c r="B6" t="s">
        <v>165</v>
      </c>
    </row>
    <row r="7" spans="1:16" ht="18" customHeight="1">
      <c r="B7" t="s">
        <v>159</v>
      </c>
    </row>
    <row r="8" spans="1:16" ht="18" customHeight="1">
      <c r="B8" t="s">
        <v>157</v>
      </c>
    </row>
    <row r="9" spans="1:16" ht="18" customHeight="1"/>
    <row r="10" spans="1:16" ht="18" customHeight="1">
      <c r="B10" s="235" t="s">
        <v>158</v>
      </c>
    </row>
    <row r="11" spans="1:16" s="237" customFormat="1" ht="18" customHeight="1">
      <c r="A11" s="236">
        <v>1</v>
      </c>
      <c r="B11" s="236" t="s">
        <v>160</v>
      </c>
    </row>
    <row r="12" spans="1:16" s="237" customFormat="1" ht="18" customHeight="1">
      <c r="A12" s="236"/>
      <c r="B12" s="236" t="s">
        <v>171</v>
      </c>
    </row>
    <row r="13" spans="1:16" s="236" customFormat="1" ht="18" customHeight="1">
      <c r="A13" s="236">
        <v>2</v>
      </c>
      <c r="B13" t="s">
        <v>161</v>
      </c>
    </row>
    <row r="14" spans="1:16" ht="18" customHeight="1">
      <c r="A14">
        <v>3</v>
      </c>
      <c r="B14" t="s">
        <v>166</v>
      </c>
    </row>
    <row r="15" spans="1:16" ht="18" customHeight="1">
      <c r="B15" t="s">
        <v>167</v>
      </c>
    </row>
    <row r="16" spans="1:16" ht="18" customHeight="1">
      <c r="A16">
        <v>4</v>
      </c>
      <c r="B16" t="s">
        <v>285</v>
      </c>
    </row>
    <row r="17" spans="1:2" ht="18" customHeight="1">
      <c r="B17" t="s">
        <v>236</v>
      </c>
    </row>
    <row r="18" spans="1:2" ht="18" customHeight="1">
      <c r="B18" t="s">
        <v>162</v>
      </c>
    </row>
    <row r="19" spans="1:2" ht="18" customHeight="1">
      <c r="A19">
        <v>5</v>
      </c>
      <c r="B19" t="s">
        <v>244</v>
      </c>
    </row>
    <row r="20" spans="1:2" ht="18" customHeight="1">
      <c r="B20" t="s">
        <v>193</v>
      </c>
    </row>
    <row r="21" spans="1:2" ht="18" customHeight="1">
      <c r="A21">
        <v>6</v>
      </c>
      <c r="B21" t="s">
        <v>322</v>
      </c>
    </row>
    <row r="22" spans="1:2" ht="18" customHeight="1">
      <c r="A22">
        <v>7</v>
      </c>
      <c r="B22" t="s">
        <v>163</v>
      </c>
    </row>
    <row r="23" spans="1:2" ht="18" customHeight="1">
      <c r="B23" t="s">
        <v>219</v>
      </c>
    </row>
    <row r="24" spans="1:2" ht="18" customHeight="1">
      <c r="A24">
        <v>8</v>
      </c>
      <c r="B24" t="s">
        <v>164</v>
      </c>
    </row>
    <row r="25" spans="1:2" ht="18" customHeight="1"/>
    <row r="26" spans="1:2" ht="18" customHeight="1">
      <c r="B26" s="237" t="s">
        <v>293</v>
      </c>
    </row>
    <row r="27" spans="1:2" ht="18" customHeight="1">
      <c r="A27">
        <v>9</v>
      </c>
      <c r="B27" t="s">
        <v>220</v>
      </c>
    </row>
    <row r="28" spans="1:2" ht="18" customHeight="1">
      <c r="B28" t="s">
        <v>221</v>
      </c>
    </row>
    <row r="29" spans="1:2" ht="18" customHeight="1">
      <c r="B29" t="s">
        <v>222</v>
      </c>
    </row>
    <row r="30" spans="1:2" ht="18" customHeight="1">
      <c r="A30">
        <v>10</v>
      </c>
      <c r="B30" t="s">
        <v>308</v>
      </c>
    </row>
    <row r="31" spans="1:2" ht="18" customHeight="1">
      <c r="A31">
        <v>11</v>
      </c>
      <c r="B31" t="s">
        <v>223</v>
      </c>
    </row>
    <row r="32" spans="1:2" ht="18" customHeight="1">
      <c r="B32" t="s">
        <v>224</v>
      </c>
    </row>
    <row r="33" spans="1:2" ht="18" customHeight="1">
      <c r="A33">
        <v>12</v>
      </c>
      <c r="B33" t="s">
        <v>225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75" zoomScaleNormal="75" zoomScaleSheetLayoutView="75" workbookViewId="0">
      <selection activeCell="F1" sqref="F1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>
      <c r="F1" s="338" t="str">
        <f>IF(様式1!$B$5="見積金額内訳書",様式1!$R$5,"")</f>
        <v>様式２</v>
      </c>
    </row>
    <row r="2" spans="1:6" s="19" customFormat="1" ht="15" customHeight="1">
      <c r="A2" s="100" t="s">
        <v>90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112</v>
      </c>
      <c r="C3" s="20"/>
      <c r="D3" s="21"/>
      <c r="E3" s="213">
        <f>E35</f>
        <v>770000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7" t="s">
        <v>28</v>
      </c>
      <c r="B6" s="1" t="s">
        <v>295</v>
      </c>
      <c r="C6" s="17">
        <v>5000</v>
      </c>
      <c r="D6" s="17">
        <v>20</v>
      </c>
      <c r="E6" s="24">
        <f>C6*D6</f>
        <v>100000</v>
      </c>
      <c r="F6" s="1"/>
    </row>
    <row r="7" spans="1:6" s="19" customFormat="1" ht="24.95" customHeight="1">
      <c r="A7" s="487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7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7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7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7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88"/>
      <c r="B12" s="484" t="s">
        <v>29</v>
      </c>
      <c r="C12" s="485"/>
      <c r="D12" s="486"/>
      <c r="E12" s="102">
        <f>SUM(E6:E11)</f>
        <v>100000</v>
      </c>
      <c r="F12" s="101"/>
    </row>
    <row r="13" spans="1:6" s="19" customFormat="1" ht="24.95" customHeight="1">
      <c r="A13" s="487" t="s">
        <v>30</v>
      </c>
      <c r="B13" s="106" t="s">
        <v>296</v>
      </c>
      <c r="C13" s="107">
        <v>6000</v>
      </c>
      <c r="D13" s="107">
        <v>20</v>
      </c>
      <c r="E13" s="24">
        <f t="shared" si="0"/>
        <v>120000</v>
      </c>
      <c r="F13" s="1"/>
    </row>
    <row r="14" spans="1:6" s="19" customFormat="1" ht="24.95" customHeight="1">
      <c r="A14" s="487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7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7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7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7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88"/>
      <c r="B19" s="484" t="s">
        <v>29</v>
      </c>
      <c r="C19" s="485"/>
      <c r="D19" s="486"/>
      <c r="E19" s="102">
        <f>SUM(E13:E18)</f>
        <v>120000</v>
      </c>
      <c r="F19" s="101"/>
    </row>
    <row r="20" spans="1:6" s="19" customFormat="1" ht="24.95" customHeight="1">
      <c r="A20" s="481" t="s">
        <v>99</v>
      </c>
      <c r="B20" s="106" t="s">
        <v>298</v>
      </c>
      <c r="C20" s="107">
        <v>50000</v>
      </c>
      <c r="D20" s="107">
        <v>5</v>
      </c>
      <c r="E20" s="24">
        <f t="shared" si="0"/>
        <v>250000</v>
      </c>
      <c r="F20" s="1"/>
    </row>
    <row r="21" spans="1:6" s="19" customFormat="1" ht="24.95" customHeight="1">
      <c r="A21" s="482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2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2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2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3"/>
      <c r="B25" s="484" t="s">
        <v>29</v>
      </c>
      <c r="C25" s="485"/>
      <c r="D25" s="486"/>
      <c r="E25" s="102">
        <f>SUM(E20:E24)</f>
        <v>250000</v>
      </c>
      <c r="F25" s="101"/>
    </row>
    <row r="26" spans="1:6" s="19" customFormat="1" ht="24.95" customHeight="1">
      <c r="A26" s="481" t="s">
        <v>113</v>
      </c>
      <c r="B26" s="106" t="s">
        <v>297</v>
      </c>
      <c r="C26" s="107">
        <v>300000</v>
      </c>
      <c r="D26" s="107">
        <v>1</v>
      </c>
      <c r="E26" s="24">
        <f t="shared" si="0"/>
        <v>300000</v>
      </c>
      <c r="F26" s="1"/>
    </row>
    <row r="27" spans="1:6" s="19" customFormat="1" ht="24.95" customHeight="1">
      <c r="A27" s="482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2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2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2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2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2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3"/>
      <c r="B33" s="484" t="s">
        <v>29</v>
      </c>
      <c r="C33" s="485"/>
      <c r="D33" s="486"/>
      <c r="E33" s="102">
        <f>SUM(E26:E32)</f>
        <v>300000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770000</v>
      </c>
      <c r="F34" s="75"/>
    </row>
    <row r="35" spans="1:6" s="19" customFormat="1" ht="21.75" customHeight="1" thickBot="1">
      <c r="C35" s="20"/>
      <c r="D35" s="129" t="s">
        <v>169</v>
      </c>
      <c r="E35" s="201">
        <f>ROUNDDOWN(E34,-3)</f>
        <v>770000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G1" sqref="G1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38" t="str">
        <f>IF(様式1!$B$5="見積金額内訳書",様式1!$R$5,"")</f>
        <v>様式２</v>
      </c>
    </row>
    <row r="2" spans="1:11">
      <c r="A2" s="100" t="s">
        <v>309</v>
      </c>
      <c r="B2" s="100" t="s">
        <v>3</v>
      </c>
    </row>
    <row r="3" spans="1:11">
      <c r="A3" s="89"/>
      <c r="B3" s="7"/>
      <c r="E3" s="339"/>
    </row>
    <row r="4" spans="1:11" ht="15" thickBot="1">
      <c r="A4" s="340" t="s">
        <v>310</v>
      </c>
      <c r="B4" s="119" t="s">
        <v>311</v>
      </c>
      <c r="C4" s="143"/>
      <c r="D4" s="144"/>
      <c r="E4" s="341">
        <f>E6+E22</f>
        <v>937000</v>
      </c>
      <c r="F4" s="119" t="s">
        <v>1</v>
      </c>
      <c r="G4" s="145"/>
      <c r="H4" s="119"/>
      <c r="K4" s="4"/>
    </row>
    <row r="5" spans="1:11" ht="15" thickTop="1">
      <c r="A5" s="340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40"/>
      <c r="B6" s="146" t="s">
        <v>312</v>
      </c>
      <c r="C6" s="143"/>
      <c r="D6" s="144"/>
      <c r="E6" s="342">
        <f>G20</f>
        <v>560000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501" t="s">
        <v>313</v>
      </c>
      <c r="C8" s="501"/>
      <c r="D8" s="126" t="s">
        <v>314</v>
      </c>
      <c r="E8" s="502" t="s">
        <v>32</v>
      </c>
      <c r="F8" s="503"/>
      <c r="G8" s="343" t="s">
        <v>33</v>
      </c>
      <c r="H8" s="119"/>
    </row>
    <row r="9" spans="1:11" ht="30" customHeight="1">
      <c r="A9" s="119"/>
      <c r="B9" s="491"/>
      <c r="C9" s="492"/>
      <c r="D9" s="344">
        <v>5</v>
      </c>
      <c r="E9" s="493">
        <v>112000</v>
      </c>
      <c r="F9" s="494"/>
      <c r="G9" s="323">
        <f>D9*E9</f>
        <v>560000</v>
      </c>
      <c r="H9" s="119"/>
    </row>
    <row r="10" spans="1:11" ht="30" customHeight="1">
      <c r="A10" s="119"/>
      <c r="B10" s="491"/>
      <c r="C10" s="492"/>
      <c r="D10" s="344"/>
      <c r="E10" s="493"/>
      <c r="F10" s="494"/>
      <c r="G10" s="323">
        <f t="shared" ref="G10:G18" si="0">D10*E10</f>
        <v>0</v>
      </c>
      <c r="H10" s="119"/>
    </row>
    <row r="11" spans="1:11" ht="30" customHeight="1">
      <c r="A11" s="119"/>
      <c r="B11" s="491"/>
      <c r="C11" s="492"/>
      <c r="D11" s="344"/>
      <c r="E11" s="493"/>
      <c r="F11" s="494"/>
      <c r="G11" s="323">
        <f t="shared" si="0"/>
        <v>0</v>
      </c>
      <c r="H11" s="119"/>
    </row>
    <row r="12" spans="1:11" ht="30" customHeight="1">
      <c r="A12" s="119"/>
      <c r="B12" s="491"/>
      <c r="C12" s="492"/>
      <c r="D12" s="344"/>
      <c r="E12" s="493"/>
      <c r="F12" s="494"/>
      <c r="G12" s="323">
        <f t="shared" si="0"/>
        <v>0</v>
      </c>
      <c r="H12" s="119"/>
    </row>
    <row r="13" spans="1:11" ht="30" customHeight="1">
      <c r="A13" s="119"/>
      <c r="B13" s="491"/>
      <c r="C13" s="492"/>
      <c r="D13" s="344"/>
      <c r="E13" s="493"/>
      <c r="F13" s="494"/>
      <c r="G13" s="323">
        <f t="shared" si="0"/>
        <v>0</v>
      </c>
      <c r="H13" s="119"/>
    </row>
    <row r="14" spans="1:11" ht="30" customHeight="1">
      <c r="A14" s="119"/>
      <c r="B14" s="491"/>
      <c r="C14" s="492"/>
      <c r="D14" s="344"/>
      <c r="E14" s="493"/>
      <c r="F14" s="494"/>
      <c r="G14" s="323">
        <f t="shared" si="0"/>
        <v>0</v>
      </c>
      <c r="H14" s="119"/>
    </row>
    <row r="15" spans="1:11" ht="30" customHeight="1">
      <c r="A15" s="119"/>
      <c r="B15" s="491"/>
      <c r="C15" s="492"/>
      <c r="D15" s="344"/>
      <c r="E15" s="493"/>
      <c r="F15" s="494"/>
      <c r="G15" s="323">
        <f t="shared" si="0"/>
        <v>0</v>
      </c>
      <c r="H15" s="119"/>
    </row>
    <row r="16" spans="1:11" ht="30" customHeight="1">
      <c r="A16" s="119"/>
      <c r="B16" s="491"/>
      <c r="C16" s="492"/>
      <c r="D16" s="344"/>
      <c r="E16" s="493"/>
      <c r="F16" s="494"/>
      <c r="G16" s="323">
        <f t="shared" si="0"/>
        <v>0</v>
      </c>
      <c r="H16" s="119"/>
    </row>
    <row r="17" spans="1:11" ht="30" customHeight="1">
      <c r="A17" s="119"/>
      <c r="B17" s="491"/>
      <c r="C17" s="492"/>
      <c r="D17" s="344"/>
      <c r="E17" s="493"/>
      <c r="F17" s="494"/>
      <c r="G17" s="323">
        <f t="shared" si="0"/>
        <v>0</v>
      </c>
      <c r="H17" s="119"/>
    </row>
    <row r="18" spans="1:11" ht="30" customHeight="1" thickBot="1">
      <c r="A18" s="119"/>
      <c r="B18" s="495"/>
      <c r="C18" s="496"/>
      <c r="D18" s="345"/>
      <c r="E18" s="497"/>
      <c r="F18" s="498"/>
      <c r="G18" s="323">
        <f t="shared" si="0"/>
        <v>0</v>
      </c>
      <c r="H18" s="119"/>
    </row>
    <row r="19" spans="1:11" ht="30" customHeight="1" thickBot="1">
      <c r="A19" s="119"/>
      <c r="B19" s="499" t="s">
        <v>29</v>
      </c>
      <c r="C19" s="500"/>
      <c r="D19" s="500"/>
      <c r="E19" s="500"/>
      <c r="F19" s="500"/>
      <c r="G19" s="346">
        <f>SUM(G9:G18)</f>
        <v>560000</v>
      </c>
      <c r="H19" s="119"/>
    </row>
    <row r="20" spans="1:11" ht="30" customHeight="1" thickBot="1">
      <c r="A20" s="119"/>
      <c r="B20" s="347"/>
      <c r="C20" s="347"/>
      <c r="D20" s="348"/>
      <c r="E20" s="349"/>
      <c r="F20" s="129" t="s">
        <v>169</v>
      </c>
      <c r="G20" s="201">
        <f>ROUNDDOWN(G19,-3)</f>
        <v>560000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40"/>
      <c r="B22" s="146" t="s">
        <v>315</v>
      </c>
      <c r="C22" s="143"/>
      <c r="D22" s="144"/>
      <c r="E22" s="212">
        <f>G25</f>
        <v>377000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 thickBot="1">
      <c r="A24" s="340"/>
      <c r="B24" s="350">
        <v>75500</v>
      </c>
      <c r="C24" s="351" t="s">
        <v>1</v>
      </c>
      <c r="D24" s="352" t="s">
        <v>316</v>
      </c>
      <c r="E24" s="350">
        <v>5</v>
      </c>
      <c r="F24" s="146" t="s">
        <v>317</v>
      </c>
      <c r="G24" s="353">
        <f>B24*E24</f>
        <v>377500</v>
      </c>
      <c r="H24" s="119" t="s">
        <v>1</v>
      </c>
      <c r="K24" s="4"/>
    </row>
    <row r="25" spans="1:11" ht="20.25" customHeight="1" thickBot="1">
      <c r="A25" s="340"/>
      <c r="B25" s="326"/>
      <c r="C25" s="354"/>
      <c r="D25" s="355"/>
      <c r="E25" s="490" t="s">
        <v>169</v>
      </c>
      <c r="F25" s="490"/>
      <c r="G25" s="201">
        <f>ROUNDDOWN(G24,-3)</f>
        <v>377000</v>
      </c>
      <c r="H25" s="119" t="s">
        <v>1</v>
      </c>
      <c r="K25" s="4"/>
    </row>
    <row r="26" spans="1:11" ht="20.25" customHeight="1">
      <c r="A26" s="340"/>
      <c r="B26" s="326"/>
      <c r="C26" s="354"/>
      <c r="D26" s="355"/>
      <c r="E26" s="356"/>
      <c r="F26" s="355"/>
      <c r="G26" s="355"/>
      <c r="H26" s="119"/>
      <c r="K26" s="4"/>
    </row>
    <row r="27" spans="1:11" ht="20.25" customHeight="1">
      <c r="A27" s="340"/>
      <c r="B27" s="326"/>
      <c r="C27" s="354"/>
      <c r="D27" s="355"/>
      <c r="E27" s="356"/>
      <c r="F27" s="355"/>
      <c r="G27" s="355"/>
      <c r="H27" s="119"/>
      <c r="K27" s="4"/>
    </row>
    <row r="28" spans="1:11" customFormat="1" ht="15" thickBot="1">
      <c r="A28" s="147"/>
      <c r="B28" s="147"/>
      <c r="C28" s="147"/>
      <c r="D28" s="147"/>
      <c r="E28" s="147"/>
      <c r="F28" s="147"/>
      <c r="G28" s="147"/>
      <c r="H28" s="147"/>
    </row>
    <row r="29" spans="1:11" ht="21" customHeight="1" thickBot="1">
      <c r="A29" s="100" t="s">
        <v>318</v>
      </c>
      <c r="B29" s="100" t="s">
        <v>6</v>
      </c>
      <c r="C29" s="145"/>
      <c r="D29" s="119"/>
      <c r="E29" s="212">
        <f>G34</f>
        <v>737000</v>
      </c>
      <c r="F29" s="148" t="s">
        <v>1</v>
      </c>
      <c r="G29" s="145"/>
      <c r="H29" s="119"/>
    </row>
    <row r="30" spans="1:11" ht="30" customHeight="1">
      <c r="A30" s="6"/>
      <c r="B30" s="7"/>
      <c r="C30" s="145"/>
      <c r="D30" s="119"/>
      <c r="E30" s="119"/>
      <c r="F30" s="119"/>
      <c r="G30" s="145"/>
      <c r="H30" s="119"/>
    </row>
    <row r="31" spans="1:11" ht="30" customHeight="1">
      <c r="A31" s="119"/>
      <c r="B31" s="119"/>
      <c r="C31" s="145"/>
      <c r="D31" s="119"/>
      <c r="E31" s="119"/>
      <c r="F31" s="119"/>
      <c r="G31" s="145"/>
      <c r="H31" s="119"/>
    </row>
    <row r="32" spans="1:11" ht="34.5" customHeight="1">
      <c r="A32" s="119"/>
      <c r="B32" s="119" t="s">
        <v>35</v>
      </c>
      <c r="C32" s="206" t="s">
        <v>319</v>
      </c>
      <c r="D32" s="119"/>
      <c r="E32" s="119" t="s">
        <v>57</v>
      </c>
      <c r="F32" s="119"/>
      <c r="G32" s="145"/>
      <c r="H32" s="119"/>
    </row>
    <row r="33" spans="1:8" ht="30" customHeight="1" thickBot="1">
      <c r="A33" s="119"/>
      <c r="B33" s="489">
        <f>様式2_3機材!F4</f>
        <v>7373000</v>
      </c>
      <c r="C33" s="489"/>
      <c r="D33" s="119" t="s">
        <v>36</v>
      </c>
      <c r="E33" s="149">
        <v>10</v>
      </c>
      <c r="F33" s="150" t="s">
        <v>320</v>
      </c>
      <c r="G33" s="210">
        <f>ROUNDDOWN(B33*E33/100,0)</f>
        <v>737300</v>
      </c>
      <c r="H33" s="119" t="s">
        <v>1</v>
      </c>
    </row>
    <row r="34" spans="1:8" ht="30" customHeight="1" thickBot="1">
      <c r="A34" s="119"/>
      <c r="B34" s="119"/>
      <c r="C34" s="145"/>
      <c r="D34" s="119"/>
      <c r="E34" s="490" t="s">
        <v>169</v>
      </c>
      <c r="F34" s="490"/>
      <c r="G34" s="211">
        <f>ROUNDDOWN(G33,-3)</f>
        <v>737000</v>
      </c>
      <c r="H34" s="148" t="s">
        <v>77</v>
      </c>
    </row>
    <row r="35" spans="1:8">
      <c r="A35" s="119"/>
      <c r="B35" s="119"/>
      <c r="C35" s="145"/>
      <c r="D35" s="119"/>
      <c r="E35" s="119"/>
      <c r="F35" s="119"/>
      <c r="G35" s="145"/>
      <c r="H35" s="119"/>
    </row>
    <row r="36" spans="1:8">
      <c r="B36" s="26"/>
    </row>
  </sheetData>
  <mergeCells count="26"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33:C33"/>
    <mergeCell ref="E34:F34"/>
    <mergeCell ref="B17:C17"/>
    <mergeCell ref="E17:F17"/>
    <mergeCell ref="B18:C18"/>
    <mergeCell ref="E18:F18"/>
    <mergeCell ref="B19:F19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view="pageBreakPreview" zoomScale="90" zoomScaleNormal="100" zoomScaleSheetLayoutView="90" workbookViewId="0">
      <selection activeCell="O29" sqref="O29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278</v>
      </c>
      <c r="B1" s="163"/>
      <c r="C1" s="58"/>
      <c r="D1" s="58"/>
      <c r="E1" s="58"/>
      <c r="F1" s="58"/>
      <c r="G1" s="58"/>
      <c r="H1" s="58"/>
      <c r="I1" s="58"/>
      <c r="J1" s="58"/>
      <c r="K1" s="338" t="str">
        <f>IF(様式1!$B$5="見積金額内訳書",様式1!$R$5,"")</f>
        <v>様式２</v>
      </c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123</v>
      </c>
      <c r="B4" s="65"/>
      <c r="C4" s="65"/>
      <c r="D4" s="164">
        <f>H13</f>
        <v>1900000</v>
      </c>
      <c r="E4" s="58" t="s">
        <v>12</v>
      </c>
      <c r="F4" s="58"/>
      <c r="G4" s="58" t="s">
        <v>97</v>
      </c>
      <c r="H4" s="58"/>
      <c r="I4" s="58"/>
      <c r="J4" s="58"/>
      <c r="K4" s="58"/>
    </row>
    <row r="5" spans="1:11" ht="20.25" customHeight="1">
      <c r="A5" s="58"/>
      <c r="B5" s="433" t="s">
        <v>60</v>
      </c>
      <c r="C5" s="435"/>
      <c r="D5" s="60" t="s">
        <v>61</v>
      </c>
      <c r="E5" s="434" t="s">
        <v>62</v>
      </c>
      <c r="F5" s="434"/>
      <c r="G5" s="60" t="s">
        <v>68</v>
      </c>
      <c r="H5" s="510" t="s">
        <v>63</v>
      </c>
      <c r="I5" s="435"/>
      <c r="J5" s="521" t="s">
        <v>64</v>
      </c>
      <c r="K5" s="511"/>
    </row>
    <row r="6" spans="1:11" ht="20.25" customHeight="1">
      <c r="A6" s="58"/>
      <c r="B6" s="508"/>
      <c r="C6" s="509"/>
      <c r="D6" s="166"/>
      <c r="E6" s="524">
        <v>500000</v>
      </c>
      <c r="F6" s="525"/>
      <c r="G6" s="167">
        <v>2</v>
      </c>
      <c r="H6" s="518">
        <f>E6*G6</f>
        <v>1000000</v>
      </c>
      <c r="I6" s="519"/>
      <c r="J6" s="522"/>
      <c r="K6" s="523"/>
    </row>
    <row r="7" spans="1:11" ht="20.25" customHeight="1">
      <c r="A7" s="58"/>
      <c r="B7" s="508"/>
      <c r="C7" s="509"/>
      <c r="D7" s="166"/>
      <c r="E7" s="524">
        <v>300000</v>
      </c>
      <c r="F7" s="525"/>
      <c r="G7" s="168">
        <v>3</v>
      </c>
      <c r="H7" s="518">
        <f t="shared" ref="H7:H12" si="0">E7*G7</f>
        <v>900000</v>
      </c>
      <c r="I7" s="519"/>
      <c r="J7" s="169"/>
      <c r="K7" s="170"/>
    </row>
    <row r="8" spans="1:11" ht="20.25" customHeight="1">
      <c r="A8" s="58"/>
      <c r="B8" s="508"/>
      <c r="C8" s="509"/>
      <c r="D8" s="166"/>
      <c r="E8" s="524"/>
      <c r="F8" s="525"/>
      <c r="G8" s="168"/>
      <c r="H8" s="518">
        <f t="shared" si="0"/>
        <v>0</v>
      </c>
      <c r="I8" s="519"/>
      <c r="J8" s="169"/>
      <c r="K8" s="170"/>
    </row>
    <row r="9" spans="1:11" ht="20.25" customHeight="1">
      <c r="A9" s="58"/>
      <c r="B9" s="508"/>
      <c r="C9" s="509"/>
      <c r="D9" s="166"/>
      <c r="E9" s="524"/>
      <c r="F9" s="525"/>
      <c r="G9" s="168"/>
      <c r="H9" s="518">
        <f t="shared" si="0"/>
        <v>0</v>
      </c>
      <c r="I9" s="519"/>
      <c r="J9" s="169"/>
      <c r="K9" s="170"/>
    </row>
    <row r="10" spans="1:11" ht="20.25" customHeight="1">
      <c r="A10" s="58"/>
      <c r="B10" s="508"/>
      <c r="C10" s="509"/>
      <c r="D10" s="166"/>
      <c r="E10" s="524"/>
      <c r="F10" s="525"/>
      <c r="G10" s="168"/>
      <c r="H10" s="518">
        <f t="shared" si="0"/>
        <v>0</v>
      </c>
      <c r="I10" s="519"/>
      <c r="J10" s="522"/>
      <c r="K10" s="523"/>
    </row>
    <row r="11" spans="1:11" ht="20.25" customHeight="1">
      <c r="A11" s="58"/>
      <c r="B11" s="508"/>
      <c r="C11" s="509"/>
      <c r="D11" s="166"/>
      <c r="E11" s="524"/>
      <c r="F11" s="525"/>
      <c r="G11" s="168"/>
      <c r="H11" s="518">
        <f t="shared" si="0"/>
        <v>0</v>
      </c>
      <c r="I11" s="519"/>
      <c r="J11" s="522"/>
      <c r="K11" s="523"/>
    </row>
    <row r="12" spans="1:11" ht="20.25" customHeight="1">
      <c r="A12" s="58"/>
      <c r="B12" s="508" t="s">
        <v>217</v>
      </c>
      <c r="C12" s="509"/>
      <c r="D12" s="166"/>
      <c r="E12" s="524"/>
      <c r="F12" s="525"/>
      <c r="G12" s="168"/>
      <c r="H12" s="518">
        <f t="shared" si="0"/>
        <v>0</v>
      </c>
      <c r="I12" s="519"/>
      <c r="J12" s="522"/>
      <c r="K12" s="523"/>
    </row>
    <row r="13" spans="1:11" ht="20.25" customHeight="1" thickBot="1">
      <c r="A13" s="58"/>
      <c r="B13" s="526" t="s">
        <v>126</v>
      </c>
      <c r="C13" s="527"/>
      <c r="D13" s="528"/>
      <c r="E13" s="536"/>
      <c r="F13" s="537"/>
      <c r="G13" s="178"/>
      <c r="H13" s="532">
        <f>SUM(H6:I12)</f>
        <v>1900000</v>
      </c>
      <c r="I13" s="533"/>
      <c r="J13" s="534"/>
      <c r="K13" s="535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124</v>
      </c>
      <c r="B16" s="171"/>
      <c r="C16" s="172"/>
      <c r="D16" s="164">
        <f>H21</f>
        <v>200000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3" t="s">
        <v>60</v>
      </c>
      <c r="C17" s="435"/>
      <c r="D17" s="60" t="s">
        <v>61</v>
      </c>
      <c r="E17" s="434" t="s">
        <v>62</v>
      </c>
      <c r="F17" s="434"/>
      <c r="G17" s="60" t="s">
        <v>68</v>
      </c>
      <c r="H17" s="510" t="s">
        <v>63</v>
      </c>
      <c r="I17" s="435"/>
      <c r="J17" s="521" t="s">
        <v>64</v>
      </c>
      <c r="K17" s="511"/>
    </row>
    <row r="18" spans="1:11" ht="20.25" customHeight="1">
      <c r="A18" s="58"/>
      <c r="B18" s="508"/>
      <c r="C18" s="509"/>
      <c r="D18" s="166"/>
      <c r="E18" s="524">
        <v>200000</v>
      </c>
      <c r="F18" s="525"/>
      <c r="G18" s="167">
        <v>1</v>
      </c>
      <c r="H18" s="518">
        <f>E18*G18</f>
        <v>200000</v>
      </c>
      <c r="I18" s="519"/>
      <c r="J18" s="522"/>
      <c r="K18" s="523"/>
    </row>
    <row r="19" spans="1:11" ht="20.25" customHeight="1">
      <c r="A19" s="58"/>
      <c r="B19" s="508"/>
      <c r="C19" s="509"/>
      <c r="D19" s="166"/>
      <c r="E19" s="524"/>
      <c r="F19" s="525"/>
      <c r="G19" s="168"/>
      <c r="H19" s="518">
        <f>E19*G19</f>
        <v>0</v>
      </c>
      <c r="I19" s="519"/>
      <c r="J19" s="169"/>
      <c r="K19" s="170"/>
    </row>
    <row r="20" spans="1:11" ht="20.25" customHeight="1">
      <c r="A20" s="58"/>
      <c r="B20" s="508" t="s">
        <v>217</v>
      </c>
      <c r="C20" s="509"/>
      <c r="D20" s="166"/>
      <c r="E20" s="524"/>
      <c r="F20" s="525"/>
      <c r="G20" s="168"/>
      <c r="H20" s="518">
        <f>E20*G20</f>
        <v>0</v>
      </c>
      <c r="I20" s="519"/>
      <c r="J20" s="169"/>
      <c r="K20" s="170"/>
    </row>
    <row r="21" spans="1:11" ht="20.25" customHeight="1" thickBot="1">
      <c r="A21" s="58"/>
      <c r="B21" s="436" t="s">
        <v>127</v>
      </c>
      <c r="C21" s="506"/>
      <c r="D21" s="507"/>
      <c r="E21" s="538"/>
      <c r="F21" s="539"/>
      <c r="G21" s="173"/>
      <c r="H21" s="532">
        <f>SUM(H18:I20)</f>
        <v>200000</v>
      </c>
      <c r="I21" s="533"/>
      <c r="J21" s="534"/>
      <c r="K21" s="535"/>
    </row>
    <row r="22" spans="1:11" ht="20.25" customHeight="1">
      <c r="A22" s="58"/>
      <c r="B22" s="174"/>
      <c r="C22" s="175"/>
      <c r="D22" s="175"/>
      <c r="E22" s="529"/>
      <c r="F22" s="529"/>
      <c r="G22" s="176"/>
      <c r="H22" s="541"/>
      <c r="I22" s="541"/>
      <c r="J22" s="520"/>
      <c r="K22" s="520"/>
    </row>
    <row r="24" spans="1:11" ht="15" thickBot="1">
      <c r="A24" s="147" t="s">
        <v>125</v>
      </c>
      <c r="D24" s="164">
        <f>H29</f>
        <v>150000</v>
      </c>
      <c r="E24" s="58" t="s">
        <v>12</v>
      </c>
    </row>
    <row r="25" spans="1:11">
      <c r="B25" s="433" t="s">
        <v>65</v>
      </c>
      <c r="C25" s="435"/>
      <c r="D25" s="60" t="s">
        <v>24</v>
      </c>
      <c r="E25" s="434" t="s">
        <v>102</v>
      </c>
      <c r="F25" s="435"/>
      <c r="G25" s="60" t="s">
        <v>103</v>
      </c>
      <c r="H25" s="434" t="s">
        <v>104</v>
      </c>
      <c r="I25" s="435"/>
      <c r="J25" s="510" t="s">
        <v>67</v>
      </c>
      <c r="K25" s="511"/>
    </row>
    <row r="26" spans="1:11">
      <c r="B26" s="85"/>
      <c r="C26" s="84"/>
      <c r="D26" s="80"/>
      <c r="E26" s="516">
        <v>150000</v>
      </c>
      <c r="F26" s="517"/>
      <c r="G26" s="80">
        <v>1</v>
      </c>
      <c r="H26" s="518">
        <f>E26*G26</f>
        <v>150000</v>
      </c>
      <c r="I26" s="519"/>
      <c r="J26" s="512"/>
      <c r="K26" s="513"/>
    </row>
    <row r="27" spans="1:11">
      <c r="B27" s="85"/>
      <c r="C27" s="84"/>
      <c r="D27" s="80"/>
      <c r="E27" s="516"/>
      <c r="F27" s="517"/>
      <c r="G27" s="80"/>
      <c r="H27" s="518">
        <f>E27*G27</f>
        <v>0</v>
      </c>
      <c r="I27" s="519"/>
      <c r="J27" s="512"/>
      <c r="K27" s="513"/>
    </row>
    <row r="28" spans="1:11">
      <c r="B28" s="508" t="s">
        <v>217</v>
      </c>
      <c r="C28" s="509"/>
      <c r="D28" s="80"/>
      <c r="E28" s="516"/>
      <c r="F28" s="517"/>
      <c r="G28" s="80"/>
      <c r="H28" s="518">
        <f>E28*G28</f>
        <v>0</v>
      </c>
      <c r="I28" s="519"/>
      <c r="J28" s="512"/>
      <c r="K28" s="513"/>
    </row>
    <row r="29" spans="1:11" ht="15" thickBot="1">
      <c r="B29" s="436" t="s">
        <v>128</v>
      </c>
      <c r="C29" s="506"/>
      <c r="D29" s="507"/>
      <c r="E29" s="536"/>
      <c r="F29" s="537"/>
      <c r="G29" s="181"/>
      <c r="H29" s="514">
        <f>SUM(H26:I28)</f>
        <v>150000</v>
      </c>
      <c r="I29" s="515"/>
      <c r="J29" s="504"/>
      <c r="K29" s="505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218</v>
      </c>
    </row>
    <row r="32" spans="1:11">
      <c r="A32" s="58"/>
      <c r="B32" s="530"/>
      <c r="C32" s="530"/>
      <c r="D32" s="530"/>
      <c r="E32" s="540"/>
      <c r="F32" s="540"/>
      <c r="G32" s="180"/>
      <c r="H32" s="531"/>
      <c r="I32" s="531"/>
      <c r="J32" s="540"/>
      <c r="K32" s="540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14" sqref="L14:L15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42" t="s">
        <v>238</v>
      </c>
      <c r="B1" s="542"/>
      <c r="C1" s="542"/>
      <c r="D1" s="542"/>
      <c r="E1" s="542"/>
      <c r="F1" s="542"/>
      <c r="G1" s="542"/>
      <c r="H1" s="542"/>
    </row>
    <row r="2" spans="1:8" ht="21.75" customHeight="1">
      <c r="A2" s="542"/>
      <c r="B2" s="542"/>
      <c r="C2" s="542"/>
      <c r="D2" s="542"/>
      <c r="E2" s="542"/>
      <c r="F2" s="542"/>
      <c r="G2" s="542"/>
      <c r="H2" s="542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43" t="s">
        <v>172</v>
      </c>
      <c r="B4" s="543"/>
      <c r="C4" s="244" t="str">
        <f>様式1!E7</f>
        <v>○○○国○○○○○○○○○普及促進事業</v>
      </c>
      <c r="D4" s="245"/>
      <c r="E4" s="246"/>
      <c r="F4" s="247"/>
      <c r="G4" s="243"/>
    </row>
    <row r="5" spans="1:8" ht="21.75" customHeight="1">
      <c r="A5" s="543" t="s">
        <v>173</v>
      </c>
      <c r="B5" s="543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174</v>
      </c>
    </row>
    <row r="7" spans="1:8" ht="21.75" customHeight="1">
      <c r="A7" s="471"/>
      <c r="B7" s="544"/>
      <c r="C7" s="544"/>
      <c r="D7" s="544"/>
      <c r="E7" s="251" t="s">
        <v>239</v>
      </c>
      <c r="F7" s="251" t="s">
        <v>240</v>
      </c>
      <c r="G7" s="251" t="s">
        <v>241</v>
      </c>
      <c r="H7" s="252" t="s">
        <v>33</v>
      </c>
    </row>
    <row r="8" spans="1:8" ht="21.75" customHeight="1">
      <c r="A8" s="266" t="s">
        <v>175</v>
      </c>
      <c r="B8" s="545" t="s">
        <v>111</v>
      </c>
      <c r="C8" s="545"/>
      <c r="D8" s="545"/>
      <c r="E8" s="254">
        <f>E9+E10+E11</f>
        <v>0</v>
      </c>
      <c r="F8" s="254">
        <f t="shared" ref="F8:G8" si="0">F9+F10+F11</f>
        <v>0</v>
      </c>
      <c r="G8" s="254">
        <f t="shared" si="0"/>
        <v>0</v>
      </c>
      <c r="H8" s="254">
        <f>E8+F8+G8</f>
        <v>0</v>
      </c>
    </row>
    <row r="9" spans="1:8" ht="21.75" customHeight="1">
      <c r="A9" s="269"/>
      <c r="B9" s="256" t="s">
        <v>185</v>
      </c>
      <c r="C9" s="551" t="s">
        <v>7</v>
      </c>
      <c r="D9" s="551"/>
      <c r="E9" s="261"/>
      <c r="F9" s="261"/>
      <c r="G9" s="261"/>
      <c r="H9" s="254">
        <f t="shared" ref="H9:H21" si="1">E9+F9+G9</f>
        <v>0</v>
      </c>
    </row>
    <row r="10" spans="1:8" ht="21.75" customHeight="1">
      <c r="A10" s="269"/>
      <c r="B10" s="256" t="s">
        <v>4</v>
      </c>
      <c r="C10" s="551" t="s">
        <v>106</v>
      </c>
      <c r="D10" s="551"/>
      <c r="E10" s="261"/>
      <c r="F10" s="261"/>
      <c r="G10" s="261"/>
      <c r="H10" s="254">
        <f t="shared" si="1"/>
        <v>0</v>
      </c>
    </row>
    <row r="11" spans="1:8" ht="21.75" customHeight="1">
      <c r="A11" s="263"/>
      <c r="B11" s="256" t="s">
        <v>8</v>
      </c>
      <c r="C11" s="552" t="s">
        <v>9</v>
      </c>
      <c r="D11" s="552"/>
      <c r="E11" s="261"/>
      <c r="F11" s="261"/>
      <c r="G11" s="261"/>
      <c r="H11" s="254">
        <f t="shared" si="1"/>
        <v>0</v>
      </c>
    </row>
    <row r="12" spans="1:8" ht="21.75" customHeight="1">
      <c r="A12" s="253" t="s">
        <v>182</v>
      </c>
      <c r="B12" s="545" t="s">
        <v>3</v>
      </c>
      <c r="C12" s="545"/>
      <c r="D12" s="546"/>
      <c r="E12" s="254">
        <f>E13+E14+E15+E16+E17+E18</f>
        <v>0</v>
      </c>
      <c r="F12" s="254">
        <f t="shared" ref="F12:G12" si="2">F13+F14+F15+F16+F17+F18</f>
        <v>0</v>
      </c>
      <c r="G12" s="254">
        <f t="shared" si="2"/>
        <v>0</v>
      </c>
      <c r="H12" s="254">
        <f t="shared" si="1"/>
        <v>0</v>
      </c>
    </row>
    <row r="13" spans="1:8" ht="21.75" customHeight="1">
      <c r="A13" s="255"/>
      <c r="B13" s="256" t="s">
        <v>176</v>
      </c>
      <c r="C13" s="553" t="s">
        <v>177</v>
      </c>
      <c r="D13" s="553"/>
      <c r="E13" s="257"/>
      <c r="F13" s="257"/>
      <c r="G13" s="257"/>
      <c r="H13" s="254">
        <f t="shared" si="1"/>
        <v>0</v>
      </c>
    </row>
    <row r="14" spans="1:8" ht="21.75" customHeight="1">
      <c r="A14" s="255"/>
      <c r="B14" s="256" t="s">
        <v>4</v>
      </c>
      <c r="C14" s="258" t="s">
        <v>191</v>
      </c>
      <c r="D14" s="259"/>
      <c r="E14" s="260"/>
      <c r="F14" s="260"/>
      <c r="G14" s="260"/>
      <c r="H14" s="254">
        <f t="shared" si="1"/>
        <v>0</v>
      </c>
    </row>
    <row r="15" spans="1:8" ht="21.75" customHeight="1">
      <c r="A15" s="255"/>
      <c r="B15" s="256"/>
      <c r="C15" s="256" t="s">
        <v>178</v>
      </c>
      <c r="D15" s="259" t="s">
        <v>32</v>
      </c>
      <c r="E15" s="261"/>
      <c r="F15" s="261"/>
      <c r="G15" s="261"/>
      <c r="H15" s="254">
        <f t="shared" si="1"/>
        <v>0</v>
      </c>
    </row>
    <row r="16" spans="1:8" ht="21.75" customHeight="1">
      <c r="A16" s="262"/>
      <c r="B16" s="259"/>
      <c r="C16" s="256" t="s">
        <v>179</v>
      </c>
      <c r="D16" s="259" t="s">
        <v>180</v>
      </c>
      <c r="E16" s="261"/>
      <c r="F16" s="261"/>
      <c r="G16" s="261"/>
      <c r="H16" s="254">
        <f t="shared" si="1"/>
        <v>0</v>
      </c>
    </row>
    <row r="17" spans="1:8" ht="21.75" customHeight="1">
      <c r="A17" s="263"/>
      <c r="B17" s="264" t="s">
        <v>181</v>
      </c>
      <c r="C17" s="258" t="s">
        <v>192</v>
      </c>
      <c r="D17" s="265"/>
      <c r="E17" s="261"/>
      <c r="F17" s="261"/>
      <c r="G17" s="261"/>
      <c r="H17" s="254">
        <f t="shared" si="1"/>
        <v>0</v>
      </c>
    </row>
    <row r="18" spans="1:8" ht="21.75" customHeight="1">
      <c r="A18" s="262"/>
      <c r="B18" s="264" t="s">
        <v>93</v>
      </c>
      <c r="C18" s="552" t="s">
        <v>237</v>
      </c>
      <c r="D18" s="552"/>
      <c r="E18" s="257"/>
      <c r="F18" s="257"/>
      <c r="G18" s="257"/>
      <c r="H18" s="254">
        <f t="shared" si="1"/>
        <v>0</v>
      </c>
    </row>
    <row r="19" spans="1:8" ht="21.75" customHeight="1">
      <c r="A19" s="266" t="s">
        <v>184</v>
      </c>
      <c r="B19" s="267" t="s">
        <v>183</v>
      </c>
      <c r="C19" s="268"/>
      <c r="D19" s="268"/>
      <c r="E19" s="390"/>
      <c r="F19" s="390"/>
      <c r="G19" s="390"/>
      <c r="H19" s="254">
        <f t="shared" si="1"/>
        <v>0</v>
      </c>
    </row>
    <row r="20" spans="1:8" ht="21.75" customHeight="1">
      <c r="A20" s="253" t="s">
        <v>186</v>
      </c>
      <c r="B20" s="547" t="s">
        <v>29</v>
      </c>
      <c r="C20" s="547"/>
      <c r="D20" s="547"/>
      <c r="E20" s="254">
        <f>E8+E12+E19</f>
        <v>0</v>
      </c>
      <c r="F20" s="254">
        <f t="shared" ref="F20:G20" si="3">F8+F12+F19</f>
        <v>0</v>
      </c>
      <c r="G20" s="254">
        <f t="shared" si="3"/>
        <v>0</v>
      </c>
      <c r="H20" s="254">
        <f t="shared" si="1"/>
        <v>0</v>
      </c>
    </row>
    <row r="21" spans="1:8" ht="21.75" customHeight="1">
      <c r="A21" s="253" t="s">
        <v>187</v>
      </c>
      <c r="B21" s="270" t="s">
        <v>188</v>
      </c>
      <c r="C21" s="271"/>
      <c r="D21" s="271"/>
      <c r="E21" s="272">
        <f>E20*0.08</f>
        <v>0</v>
      </c>
      <c r="F21" s="272">
        <f t="shared" ref="F21:G21" si="4">F20*0.08</f>
        <v>0</v>
      </c>
      <c r="G21" s="272">
        <f t="shared" si="4"/>
        <v>0</v>
      </c>
      <c r="H21" s="254">
        <f t="shared" si="1"/>
        <v>0</v>
      </c>
    </row>
    <row r="22" spans="1:8" ht="21.75" customHeight="1">
      <c r="A22" s="273" t="s">
        <v>189</v>
      </c>
      <c r="B22" s="547" t="s">
        <v>190</v>
      </c>
      <c r="C22" s="547"/>
      <c r="D22" s="547"/>
      <c r="E22" s="254">
        <f>SUM(E20:E21)</f>
        <v>0</v>
      </c>
      <c r="F22" s="254">
        <f t="shared" ref="F22:G22" si="5">SUM(F20:F21)</f>
        <v>0</v>
      </c>
      <c r="G22" s="254">
        <f t="shared" si="5"/>
        <v>0</v>
      </c>
      <c r="H22" s="254">
        <f>SUM(H8:H21)</f>
        <v>0</v>
      </c>
    </row>
    <row r="23" spans="1:8">
      <c r="A23" s="548"/>
      <c r="B23" s="548"/>
      <c r="C23" s="548"/>
      <c r="D23" s="549"/>
    </row>
    <row r="24" spans="1:8" ht="14.25" customHeight="1">
      <c r="A24" s="550"/>
      <c r="B24" s="550"/>
      <c r="C24" s="550"/>
      <c r="D24" s="550"/>
      <c r="E24" s="550"/>
    </row>
    <row r="25" spans="1:8">
      <c r="A25" s="274"/>
      <c r="B25" s="274"/>
      <c r="C25" s="274"/>
      <c r="D25" s="274"/>
      <c r="E25" s="274"/>
      <c r="F25" s="274"/>
      <c r="G25" s="274"/>
    </row>
    <row r="26" spans="1:8">
      <c r="A26" s="274"/>
      <c r="B26" s="274"/>
      <c r="C26" s="274"/>
      <c r="D26" s="274"/>
      <c r="E26" s="274"/>
      <c r="F26" s="274"/>
      <c r="G26" s="274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H36" sqref="H36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6" t="str">
        <f>IF(様式1!B5="見積金額内訳書","",IF(様式1!B5="最終見積金額内訳書","",Q5))</f>
        <v/>
      </c>
      <c r="C1" s="556"/>
      <c r="D1" s="556"/>
      <c r="I1" s="217"/>
    </row>
    <row r="2" spans="1:17" ht="17.25">
      <c r="B2" s="554" t="s">
        <v>147</v>
      </c>
      <c r="C2" s="554"/>
      <c r="D2" s="554"/>
      <c r="E2" s="554"/>
      <c r="F2" s="554"/>
      <c r="G2" s="554"/>
      <c r="H2" s="554"/>
      <c r="I2" s="554"/>
    </row>
    <row r="3" spans="1:17" ht="18" thickBot="1">
      <c r="B3" s="555"/>
      <c r="C3" s="555"/>
      <c r="D3" s="555"/>
      <c r="E3" s="555"/>
      <c r="F3" s="555"/>
      <c r="G3" s="555"/>
      <c r="H3" s="555"/>
      <c r="I3" s="555"/>
    </row>
    <row r="4" spans="1:17" ht="30" customHeight="1" thickBot="1">
      <c r="A4" s="232" t="s">
        <v>130</v>
      </c>
      <c r="B4" s="230" t="s">
        <v>148</v>
      </c>
      <c r="C4" s="218" t="s">
        <v>149</v>
      </c>
      <c r="D4" s="218" t="s">
        <v>150</v>
      </c>
      <c r="E4" s="218" t="s">
        <v>132</v>
      </c>
      <c r="F4" s="218" t="s">
        <v>151</v>
      </c>
      <c r="G4" s="218" t="s">
        <v>321</v>
      </c>
      <c r="H4" s="218" t="s">
        <v>242</v>
      </c>
      <c r="I4" s="219" t="s">
        <v>243</v>
      </c>
    </row>
    <row r="5" spans="1:17" ht="30" customHeight="1" thickTop="1">
      <c r="A5" s="240">
        <v>1</v>
      </c>
      <c r="B5" s="231" t="str">
        <f>IF($A5="","",VLOOKUP($A5,従事者明細!$A$3:$I$51,2))</f>
        <v>田中　正樹（日本）</v>
      </c>
      <c r="C5" s="199" t="str">
        <f>IF($A5="","",VLOOKUP($A5,従事者明細!$A$3:$I$51,3))</f>
        <v>業務主任/事業計画策定</v>
      </c>
      <c r="D5" s="199" t="str">
        <f>IF($A5="","",VLOOKUP($A5,従事者明細!$A$3:$I$51,4))</f>
        <v>㈱YXZホールティングス</v>
      </c>
      <c r="E5" s="225" t="str">
        <f>IF($A5="","",VLOOKUP($A5,従事者明細!$A$3:$I$51,5))</f>
        <v>Z</v>
      </c>
      <c r="F5" s="226">
        <f>IF($A5="","",VLOOKUP($A5,従事者明細!$A$3:$I$51,6))</f>
        <v>2</v>
      </c>
      <c r="G5" s="241">
        <f>IF($A5="","",VLOOKUP($A5,従事者明細!$A$3:$I$51,7))</f>
        <v>20372</v>
      </c>
      <c r="H5" s="229" t="str">
        <f>IF($A5="","",VLOOKUP($A5,従事者明細!$A$3:$I$51,8))</f>
        <v>　○○工業大学卒
　△△△大学院修了</v>
      </c>
      <c r="I5" s="229" t="str">
        <f>IF($A5="","",VLOOKUP($A5,従事者明細!$A$3:$I$51,9))</f>
        <v>19**年3月
19**年9月</v>
      </c>
      <c r="Q5" t="s">
        <v>228</v>
      </c>
    </row>
    <row r="6" spans="1:17" ht="30" customHeight="1">
      <c r="A6" s="240">
        <v>2</v>
      </c>
      <c r="B6" s="231" t="str">
        <f>IF($A6="","",VLOOKUP($A6,従事者明細!$A$3:$I$51,2))</f>
        <v>本田　慶介（日本）</v>
      </c>
      <c r="C6" s="199" t="str">
        <f>IF($A6="","",VLOOKUP($A6,従事者明細!$A$3:$I$51,3))</f>
        <v>開発課題1/農村調査</v>
      </c>
      <c r="D6" s="199" t="str">
        <f>IF($A6="","",VLOOKUP($A6,従事者明細!$A$3:$I$51,4))</f>
        <v>㈱YXZホールティングス</v>
      </c>
      <c r="E6" s="225" t="str">
        <f>IF($A6="","",VLOOKUP($A6,従事者明細!$A$3:$I$51,5))</f>
        <v>Z</v>
      </c>
      <c r="F6" s="226">
        <f>IF($A6="","",VLOOKUP($A6,従事者明細!$A$3:$I$51,6))</f>
        <v>3</v>
      </c>
      <c r="G6" s="241">
        <f>IF($A6="","",VLOOKUP($A6,従事者明細!$A$3:$I$51,7))</f>
        <v>26155</v>
      </c>
      <c r="H6" s="229" t="str">
        <f>IF($A6="","",VLOOKUP($A6,従事者明細!$A$3:$I$51,8))</f>
        <v>　○○工業高校卒</v>
      </c>
      <c r="I6" s="229" t="str">
        <f>IF($A6="","",VLOOKUP($A6,従事者明細!$A$3:$I$51,9))</f>
        <v>200*年3月</v>
      </c>
    </row>
    <row r="7" spans="1:17" ht="30" customHeight="1">
      <c r="A7" s="240">
        <v>3</v>
      </c>
      <c r="B7" s="231" t="str">
        <f>IF($A7="","",VLOOKUP($A7,従事者明細!$A$3:$I$51,2))</f>
        <v>阿部　一朗（日本）</v>
      </c>
      <c r="C7" s="199" t="str">
        <f>IF($A7="","",VLOOKUP($A7,従事者明細!$A$3:$I$51,3))</f>
        <v>開発課題2/市場調査</v>
      </c>
      <c r="D7" s="199" t="str">
        <f>IF($A7="","",VLOOKUP($A7,従事者明細!$A$3:$I$51,4))</f>
        <v>㈱FIFAコンサルタント</v>
      </c>
      <c r="E7" s="225" t="str">
        <f>IF($A7="","",VLOOKUP($A7,従事者明細!$A$3:$I$51,5))</f>
        <v>A</v>
      </c>
      <c r="F7" s="226">
        <f>IF($A7="","",VLOOKUP($A7,従事者明細!$A$3:$I$51,6))</f>
        <v>4</v>
      </c>
      <c r="G7" s="241">
        <f>IF($A7="","",VLOOKUP($A7,従事者明細!$A$3:$I$51,7))</f>
        <v>24422</v>
      </c>
      <c r="H7" s="229" t="str">
        <f>IF($A7="","",VLOOKUP($A7,従事者明細!$A$3:$I$51,8))</f>
        <v xml:space="preserve"> ○○○○○大学卒</v>
      </c>
      <c r="I7" s="229" t="str">
        <f>IF($A7="","",VLOOKUP($A7,従事者明細!$A$3:$I$51,9))</f>
        <v>19**年3月</v>
      </c>
    </row>
    <row r="8" spans="1:17" ht="30" customHeight="1">
      <c r="A8" s="240">
        <v>4</v>
      </c>
      <c r="B8" s="231" t="str">
        <f>IF($A8="","",VLOOKUP($A8,従事者明細!$A$3:$I$51,2))</f>
        <v>半沢　直樹（日本）</v>
      </c>
      <c r="C8" s="199" t="str">
        <f>IF($A8="","",VLOOKUP($A8,従事者明細!$A$3:$I$51,3))</f>
        <v>パートナー連携</v>
      </c>
      <c r="D8" s="199" t="str">
        <f>IF($A8="","",VLOOKUP($A8,従事者明細!$A$3:$I$51,4))</f>
        <v>㈱FIFAコンサルタント</v>
      </c>
      <c r="E8" s="225" t="str">
        <f>IF($A8="","",VLOOKUP($A8,従事者明細!$A$3:$I$51,5))</f>
        <v>A</v>
      </c>
      <c r="F8" s="226">
        <f>IF($A8="","",VLOOKUP($A8,従事者明細!$A$3:$I$51,6))</f>
        <v>4</v>
      </c>
      <c r="G8" s="241">
        <f>IF($A8="","",VLOOKUP($A8,従事者明細!$A$3:$I$51,7))</f>
        <v>24100</v>
      </c>
      <c r="H8" s="229" t="str">
        <f>IF($A8="","",VLOOKUP($A8,従事者明細!$A$3:$I$51,8))</f>
        <v xml:space="preserve"> ○○○○○大学卒</v>
      </c>
      <c r="I8" s="229" t="str">
        <f>IF($A8="","",VLOOKUP($A8,従事者明細!$A$3:$I$51,9))</f>
        <v>19**年3月</v>
      </c>
    </row>
    <row r="9" spans="1:17" ht="30" customHeight="1">
      <c r="A9" s="240">
        <v>5</v>
      </c>
      <c r="B9" s="231" t="str">
        <f>IF($A9="","",VLOOKUP($A9,従事者明細!$A$3:$I$51,2))</f>
        <v>国際　太郎（ベトナム）</v>
      </c>
      <c r="C9" s="199" t="str">
        <f>IF($A9="","",VLOOKUP($A9,従事者明細!$A$3:$I$51,3))</f>
        <v>法制度調査</v>
      </c>
      <c r="D9" s="199" t="str">
        <f>IF($A9="","",VLOOKUP($A9,従事者明細!$A$3:$I$51,4))</f>
        <v>㈱OPQ貿易</v>
      </c>
      <c r="E9" s="225" t="str">
        <f>IF($A9="","",VLOOKUP($A9,従事者明細!$A$3:$I$51,5))</f>
        <v>C</v>
      </c>
      <c r="F9" s="226">
        <f>IF($A9="","",VLOOKUP($A9,従事者明細!$A$3:$I$51,6))</f>
        <v>3</v>
      </c>
      <c r="G9" s="241">
        <f>IF($A9="","",VLOOKUP($A9,従事者明細!$A$3:$I$51,7))</f>
        <v>25729</v>
      </c>
      <c r="H9" s="229" t="str">
        <f>IF($A9="","",VLOOKUP($A9,従事者明細!$A$3:$I$51,8))</f>
        <v xml:space="preserve"> ○○○○○大学卒</v>
      </c>
      <c r="I9" s="229" t="str">
        <f>IF($A9="","",VLOOKUP($A9,従事者明細!$A$3:$I$51,9))</f>
        <v>19**年3月</v>
      </c>
    </row>
    <row r="10" spans="1:17" ht="30" customHeight="1">
      <c r="A10" s="240">
        <v>6</v>
      </c>
      <c r="B10" s="231" t="str">
        <f>IF($A10="","",VLOOKUP($A10,従事者明細!$A$3:$I$51,2))</f>
        <v>鈴木　花子（日本）</v>
      </c>
      <c r="C10" s="199" t="str">
        <f>IF($A10="","",VLOOKUP($A10,従事者明細!$A$3:$I$51,3))</f>
        <v>環境社会配慮調査</v>
      </c>
      <c r="D10" s="199" t="str">
        <f>IF($A10="","",VLOOKUP($A10,従事者明細!$A$3:$I$51,4))</f>
        <v>DDDコンサル㈱</v>
      </c>
      <c r="E10" s="225" t="str">
        <f>IF($A10="","",VLOOKUP($A10,従事者明細!$A$3:$I$51,5))</f>
        <v>B</v>
      </c>
      <c r="F10" s="226">
        <f>IF($A10="","",VLOOKUP($A10,従事者明細!$A$3:$I$51,6))</f>
        <v>5</v>
      </c>
      <c r="G10" s="241">
        <f>IF($A10="","",VLOOKUP($A10,従事者明細!$A$3:$I$51,7))</f>
        <v>29423</v>
      </c>
      <c r="H10" s="229" t="str">
        <f>IF($A10="","",VLOOKUP($A10,従事者明細!$A$3:$I$51,8))</f>
        <v xml:space="preserve"> ○○○○○大学卒</v>
      </c>
      <c r="I10" s="229" t="str">
        <f>IF($A10="","",VLOOKUP($A10,従事者明細!$A$3:$I$51,9))</f>
        <v>200*年3月</v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2"/>
      <c r="C27" s="392"/>
      <c r="D27" s="392"/>
      <c r="E27" s="392"/>
      <c r="F27" s="392"/>
      <c r="G27" s="392"/>
      <c r="H27" s="392"/>
      <c r="I27" s="392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C17" sqref="C17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2" bestFit="1" customWidth="1"/>
    <col min="16" max="16" width="6.5" bestFit="1" customWidth="1"/>
  </cols>
  <sheetData>
    <row r="1" spans="1:22">
      <c r="A1" s="183" t="s">
        <v>129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10"/>
      <c r="P1" s="185"/>
    </row>
    <row r="2" spans="1:22" ht="16.5">
      <c r="A2" s="186" t="s">
        <v>130</v>
      </c>
      <c r="B2" s="297" t="s">
        <v>290</v>
      </c>
      <c r="C2" s="297" t="s">
        <v>131</v>
      </c>
      <c r="D2" s="297" t="s">
        <v>287</v>
      </c>
      <c r="E2" s="297" t="s">
        <v>288</v>
      </c>
      <c r="F2" s="297" t="s">
        <v>133</v>
      </c>
      <c r="G2" s="297" t="s">
        <v>337</v>
      </c>
      <c r="H2" s="297" t="s">
        <v>154</v>
      </c>
      <c r="I2" s="297" t="s">
        <v>289</v>
      </c>
      <c r="J2" s="297" t="s">
        <v>245</v>
      </c>
      <c r="K2" s="297" t="s">
        <v>246</v>
      </c>
      <c r="L2" s="297" t="s">
        <v>247</v>
      </c>
      <c r="M2" s="186"/>
      <c r="N2" s="306" t="s">
        <v>248</v>
      </c>
      <c r="O2" s="311" t="s">
        <v>249</v>
      </c>
      <c r="P2" s="307" t="s">
        <v>246</v>
      </c>
      <c r="Q2" s="307" t="s">
        <v>247</v>
      </c>
      <c r="U2" s="197" t="s">
        <v>132</v>
      </c>
      <c r="V2" s="197" t="s">
        <v>145</v>
      </c>
    </row>
    <row r="3" spans="1:22" ht="24">
      <c r="A3">
        <v>1</v>
      </c>
      <c r="B3" s="187" t="s">
        <v>250</v>
      </c>
      <c r="C3" s="188" t="s">
        <v>251</v>
      </c>
      <c r="D3" s="188" t="s">
        <v>252</v>
      </c>
      <c r="E3" s="314" t="s">
        <v>152</v>
      </c>
      <c r="F3" s="314">
        <v>2</v>
      </c>
      <c r="G3" s="228">
        <v>20372</v>
      </c>
      <c r="H3" s="227" t="s">
        <v>253</v>
      </c>
      <c r="I3" s="227" t="s">
        <v>271</v>
      </c>
      <c r="J3" s="315">
        <f>IF($F3="","",VLOOKUP($F3,$N$3:$Q$12,2))</f>
        <v>990000</v>
      </c>
      <c r="K3" s="315">
        <f>IF($F3="","",VLOOKUP($F3,$N$3:$Q$12,3))</f>
        <v>3800</v>
      </c>
      <c r="L3" s="315">
        <f>IF($F3="","",VLOOKUP($F3,$N$3:$Q$12,4))</f>
        <v>11600</v>
      </c>
      <c r="N3" s="306"/>
      <c r="O3" s="311"/>
      <c r="P3" s="307"/>
      <c r="Q3" s="307"/>
      <c r="U3" s="198" t="s">
        <v>142</v>
      </c>
      <c r="V3" s="197" t="s">
        <v>146</v>
      </c>
    </row>
    <row r="4" spans="1:22">
      <c r="A4">
        <v>2</v>
      </c>
      <c r="B4" s="187" t="s">
        <v>254</v>
      </c>
      <c r="C4" s="188" t="s">
        <v>255</v>
      </c>
      <c r="D4" s="188" t="s">
        <v>272</v>
      </c>
      <c r="E4" s="314" t="s">
        <v>152</v>
      </c>
      <c r="F4" s="314">
        <v>3</v>
      </c>
      <c r="G4" s="228">
        <v>26155</v>
      </c>
      <c r="H4" s="227" t="s">
        <v>256</v>
      </c>
      <c r="I4" s="189" t="s">
        <v>257</v>
      </c>
      <c r="J4" s="315">
        <f t="shared" ref="J4:J33" si="0">IF($F4="","",VLOOKUP($F4,$N$3:$Q$12,2))</f>
        <v>856000</v>
      </c>
      <c r="K4" s="315">
        <f t="shared" ref="K4:K33" si="1">IF($F4="","",VLOOKUP($F4,$N$3:$Q$12,3))</f>
        <v>3800</v>
      </c>
      <c r="L4" s="315">
        <f t="shared" ref="L4:L33" si="2">IF($F4="","",VLOOKUP($F4,$N$3:$Q$12,4))</f>
        <v>11600</v>
      </c>
      <c r="N4" s="306"/>
      <c r="O4" s="311"/>
      <c r="P4" s="307"/>
      <c r="Q4" s="307"/>
      <c r="U4" s="198" t="s">
        <v>143</v>
      </c>
      <c r="V4" s="197" t="s">
        <v>144</v>
      </c>
    </row>
    <row r="5" spans="1:22">
      <c r="A5">
        <v>3</v>
      </c>
      <c r="B5" s="187" t="s">
        <v>258</v>
      </c>
      <c r="C5" s="188" t="s">
        <v>259</v>
      </c>
      <c r="D5" s="188" t="s">
        <v>273</v>
      </c>
      <c r="E5" s="314" t="s">
        <v>134</v>
      </c>
      <c r="F5" s="314">
        <v>4</v>
      </c>
      <c r="G5" s="228">
        <v>24422</v>
      </c>
      <c r="H5" s="227" t="s">
        <v>274</v>
      </c>
      <c r="I5" s="189" t="s">
        <v>261</v>
      </c>
      <c r="J5" s="315">
        <f t="shared" si="0"/>
        <v>702000</v>
      </c>
      <c r="K5" s="315">
        <f t="shared" si="1"/>
        <v>3800</v>
      </c>
      <c r="L5" s="315">
        <f t="shared" si="2"/>
        <v>11600</v>
      </c>
      <c r="N5" s="306"/>
      <c r="O5" s="311"/>
      <c r="P5" s="307"/>
      <c r="Q5" s="307"/>
      <c r="U5" s="198" t="s">
        <v>144</v>
      </c>
    </row>
    <row r="6" spans="1:22">
      <c r="A6">
        <v>4</v>
      </c>
      <c r="B6" s="187" t="s">
        <v>262</v>
      </c>
      <c r="C6" s="188" t="s">
        <v>263</v>
      </c>
      <c r="D6" s="188" t="s">
        <v>273</v>
      </c>
      <c r="E6" s="314" t="s">
        <v>134</v>
      </c>
      <c r="F6" s="314">
        <v>4</v>
      </c>
      <c r="G6" s="228">
        <v>24100</v>
      </c>
      <c r="H6" s="227" t="s">
        <v>260</v>
      </c>
      <c r="I6" s="189" t="s">
        <v>261</v>
      </c>
      <c r="J6" s="315">
        <f t="shared" si="0"/>
        <v>702000</v>
      </c>
      <c r="K6" s="315">
        <f t="shared" si="1"/>
        <v>3800</v>
      </c>
      <c r="L6" s="315">
        <f t="shared" si="2"/>
        <v>11600</v>
      </c>
      <c r="N6" s="308"/>
      <c r="O6" s="311"/>
      <c r="P6" s="307"/>
      <c r="Q6" s="307"/>
      <c r="U6" s="198" t="s">
        <v>153</v>
      </c>
    </row>
    <row r="7" spans="1:22" ht="21.75" customHeight="1">
      <c r="A7">
        <v>5</v>
      </c>
      <c r="B7" s="187" t="s">
        <v>264</v>
      </c>
      <c r="C7" s="188" t="s">
        <v>265</v>
      </c>
      <c r="D7" s="188" t="s">
        <v>266</v>
      </c>
      <c r="E7" s="314" t="s">
        <v>135</v>
      </c>
      <c r="F7" s="314">
        <v>3</v>
      </c>
      <c r="G7" s="228">
        <v>25729</v>
      </c>
      <c r="H7" s="227" t="s">
        <v>274</v>
      </c>
      <c r="I7" s="189" t="s">
        <v>261</v>
      </c>
      <c r="J7" s="315">
        <f t="shared" si="0"/>
        <v>856000</v>
      </c>
      <c r="K7" s="315">
        <f t="shared" si="1"/>
        <v>3800</v>
      </c>
      <c r="L7" s="315">
        <f t="shared" si="2"/>
        <v>11600</v>
      </c>
      <c r="N7" s="308">
        <v>2</v>
      </c>
      <c r="O7" s="311">
        <v>990000</v>
      </c>
      <c r="P7" s="307">
        <v>3800</v>
      </c>
      <c r="Q7" s="307">
        <v>11600</v>
      </c>
    </row>
    <row r="8" spans="1:22" ht="19.5" customHeight="1">
      <c r="A8">
        <v>6</v>
      </c>
      <c r="B8" s="187" t="s">
        <v>267</v>
      </c>
      <c r="C8" s="188" t="s">
        <v>268</v>
      </c>
      <c r="D8" s="188" t="s">
        <v>275</v>
      </c>
      <c r="E8" s="314" t="s">
        <v>269</v>
      </c>
      <c r="F8" s="314">
        <v>5</v>
      </c>
      <c r="G8" s="228">
        <v>29423</v>
      </c>
      <c r="H8" s="227" t="s">
        <v>274</v>
      </c>
      <c r="I8" s="189" t="s">
        <v>270</v>
      </c>
      <c r="J8" s="315">
        <f t="shared" si="0"/>
        <v>568000</v>
      </c>
      <c r="K8" s="315">
        <f t="shared" si="1"/>
        <v>3800</v>
      </c>
      <c r="L8" s="315">
        <f t="shared" si="2"/>
        <v>11600</v>
      </c>
      <c r="N8" s="308">
        <v>3</v>
      </c>
      <c r="O8" s="311">
        <v>856000</v>
      </c>
      <c r="P8" s="307">
        <v>3800</v>
      </c>
      <c r="Q8" s="307">
        <v>11600</v>
      </c>
    </row>
    <row r="9" spans="1:22">
      <c r="A9">
        <v>7</v>
      </c>
      <c r="B9" s="187"/>
      <c r="C9" s="188"/>
      <c r="D9" s="188"/>
      <c r="E9" s="314"/>
      <c r="F9" s="314"/>
      <c r="G9" s="228"/>
      <c r="H9" s="227"/>
      <c r="I9" s="189"/>
      <c r="J9" s="315" t="str">
        <f t="shared" si="0"/>
        <v/>
      </c>
      <c r="K9" s="315" t="str">
        <f t="shared" si="1"/>
        <v/>
      </c>
      <c r="L9" s="315" t="str">
        <f t="shared" si="2"/>
        <v/>
      </c>
      <c r="N9" s="308">
        <v>4</v>
      </c>
      <c r="O9" s="311">
        <v>702000</v>
      </c>
      <c r="P9" s="307">
        <v>3800</v>
      </c>
      <c r="Q9" s="307">
        <v>11600</v>
      </c>
    </row>
    <row r="10" spans="1:22">
      <c r="A10">
        <v>8</v>
      </c>
      <c r="B10" s="187"/>
      <c r="C10" s="188"/>
      <c r="D10" s="188"/>
      <c r="E10" s="314"/>
      <c r="F10" s="314"/>
      <c r="G10" s="228"/>
      <c r="H10" s="227"/>
      <c r="I10" s="189"/>
      <c r="J10" s="315" t="str">
        <f t="shared" si="0"/>
        <v/>
      </c>
      <c r="K10" s="315" t="str">
        <f t="shared" si="1"/>
        <v/>
      </c>
      <c r="L10" s="315" t="str">
        <f t="shared" si="2"/>
        <v/>
      </c>
      <c r="N10" s="308">
        <v>5</v>
      </c>
      <c r="O10" s="311">
        <v>568000</v>
      </c>
      <c r="P10" s="307">
        <v>3800</v>
      </c>
      <c r="Q10" s="307">
        <v>11600</v>
      </c>
    </row>
    <row r="11" spans="1:22">
      <c r="A11">
        <v>9</v>
      </c>
      <c r="B11" s="187"/>
      <c r="C11" s="188"/>
      <c r="D11" s="188"/>
      <c r="E11" s="314"/>
      <c r="F11" s="314"/>
      <c r="G11" s="228"/>
      <c r="H11" s="227"/>
      <c r="I11" s="189"/>
      <c r="J11" s="315" t="str">
        <f t="shared" si="0"/>
        <v/>
      </c>
      <c r="K11" s="315" t="str">
        <f t="shared" si="1"/>
        <v/>
      </c>
      <c r="L11" s="315" t="str">
        <f t="shared" si="2"/>
        <v/>
      </c>
      <c r="N11" s="308">
        <v>6</v>
      </c>
      <c r="O11" s="311">
        <v>476000</v>
      </c>
      <c r="P11" s="307">
        <v>3800</v>
      </c>
      <c r="Q11" s="307">
        <v>11600</v>
      </c>
    </row>
    <row r="12" spans="1:22">
      <c r="A12">
        <v>10</v>
      </c>
      <c r="B12" s="187"/>
      <c r="C12" s="188"/>
      <c r="D12" s="188"/>
      <c r="E12" s="314"/>
      <c r="F12" s="314"/>
      <c r="G12" s="228"/>
      <c r="H12" s="227"/>
      <c r="I12" s="189"/>
      <c r="J12" s="315" t="str">
        <f t="shared" si="0"/>
        <v/>
      </c>
      <c r="K12" s="315" t="str">
        <f t="shared" si="1"/>
        <v/>
      </c>
      <c r="L12" s="315" t="str">
        <f t="shared" si="2"/>
        <v/>
      </c>
    </row>
    <row r="13" spans="1:22">
      <c r="A13">
        <v>11</v>
      </c>
      <c r="B13" s="187"/>
      <c r="C13" s="188"/>
      <c r="D13" s="188"/>
      <c r="E13" s="314"/>
      <c r="F13" s="314"/>
      <c r="G13" s="228"/>
      <c r="H13" s="227"/>
      <c r="I13" s="189"/>
      <c r="J13" s="315" t="str">
        <f t="shared" si="0"/>
        <v/>
      </c>
      <c r="K13" s="315" t="str">
        <f t="shared" si="1"/>
        <v/>
      </c>
      <c r="L13" s="315" t="str">
        <f t="shared" si="2"/>
        <v/>
      </c>
    </row>
    <row r="14" spans="1:22">
      <c r="A14">
        <v>12</v>
      </c>
      <c r="B14" s="187"/>
      <c r="C14" s="188"/>
      <c r="D14" s="188"/>
      <c r="E14" s="314"/>
      <c r="F14" s="314"/>
      <c r="G14" s="228"/>
      <c r="H14" s="227"/>
      <c r="I14" s="189"/>
      <c r="J14" s="315" t="str">
        <f t="shared" si="0"/>
        <v/>
      </c>
      <c r="K14" s="315" t="str">
        <f t="shared" si="1"/>
        <v/>
      </c>
      <c r="L14" s="315" t="str">
        <f t="shared" si="2"/>
        <v/>
      </c>
    </row>
    <row r="15" spans="1:22">
      <c r="A15">
        <v>13</v>
      </c>
      <c r="B15" s="187"/>
      <c r="C15" s="188"/>
      <c r="D15" s="188"/>
      <c r="E15" s="314"/>
      <c r="F15" s="314"/>
      <c r="G15" s="228"/>
      <c r="H15" s="227"/>
      <c r="I15" s="189"/>
      <c r="J15" s="315" t="str">
        <f t="shared" si="0"/>
        <v/>
      </c>
      <c r="K15" s="315" t="str">
        <f t="shared" si="1"/>
        <v/>
      </c>
      <c r="L15" s="315" t="str">
        <f t="shared" si="2"/>
        <v/>
      </c>
    </row>
    <row r="16" spans="1:22">
      <c r="A16">
        <v>14</v>
      </c>
      <c r="B16" s="187"/>
      <c r="C16" s="188"/>
      <c r="D16" s="188"/>
      <c r="E16" s="314"/>
      <c r="F16" s="314"/>
      <c r="G16" s="228"/>
      <c r="H16" s="227"/>
      <c r="I16" s="189"/>
      <c r="J16" s="315" t="str">
        <f t="shared" si="0"/>
        <v/>
      </c>
      <c r="K16" s="315" t="str">
        <f t="shared" si="1"/>
        <v/>
      </c>
      <c r="L16" s="315" t="str">
        <f t="shared" si="2"/>
        <v/>
      </c>
    </row>
    <row r="17" spans="1:12">
      <c r="A17">
        <v>15</v>
      </c>
      <c r="B17" s="187"/>
      <c r="C17" s="188"/>
      <c r="D17" s="188"/>
      <c r="E17" s="314"/>
      <c r="F17" s="314"/>
      <c r="G17" s="228"/>
      <c r="H17" s="227"/>
      <c r="I17" s="189"/>
      <c r="J17" s="315" t="str">
        <f t="shared" si="0"/>
        <v/>
      </c>
      <c r="K17" s="315" t="str">
        <f t="shared" si="1"/>
        <v/>
      </c>
      <c r="L17" s="315" t="str">
        <f t="shared" si="2"/>
        <v/>
      </c>
    </row>
    <row r="18" spans="1:12">
      <c r="A18">
        <v>16</v>
      </c>
      <c r="B18" s="187"/>
      <c r="C18" s="188"/>
      <c r="D18" s="188"/>
      <c r="E18" s="314"/>
      <c r="F18" s="314"/>
      <c r="G18" s="228"/>
      <c r="H18" s="227"/>
      <c r="I18" s="189"/>
      <c r="J18" s="315" t="str">
        <f t="shared" si="0"/>
        <v/>
      </c>
      <c r="K18" s="315" t="str">
        <f t="shared" si="1"/>
        <v/>
      </c>
      <c r="L18" s="315" t="str">
        <f t="shared" si="2"/>
        <v/>
      </c>
    </row>
    <row r="19" spans="1:12">
      <c r="A19">
        <v>17</v>
      </c>
      <c r="B19" s="187"/>
      <c r="C19" s="188"/>
      <c r="D19" s="188"/>
      <c r="E19" s="314"/>
      <c r="F19" s="314"/>
      <c r="G19" s="228"/>
      <c r="H19" s="227"/>
      <c r="I19" s="189"/>
      <c r="J19" s="315" t="str">
        <f t="shared" si="0"/>
        <v/>
      </c>
      <c r="K19" s="315" t="str">
        <f t="shared" si="1"/>
        <v/>
      </c>
      <c r="L19" s="315" t="str">
        <f t="shared" si="2"/>
        <v/>
      </c>
    </row>
    <row r="20" spans="1:12">
      <c r="A20">
        <v>18</v>
      </c>
      <c r="B20" s="187"/>
      <c r="C20" s="188"/>
      <c r="D20" s="188"/>
      <c r="E20" s="314"/>
      <c r="F20" s="314"/>
      <c r="G20" s="228"/>
      <c r="H20" s="227"/>
      <c r="I20" s="189"/>
      <c r="J20" s="315" t="str">
        <f t="shared" si="0"/>
        <v/>
      </c>
      <c r="K20" s="315" t="str">
        <f t="shared" si="1"/>
        <v/>
      </c>
      <c r="L20" s="315" t="str">
        <f t="shared" si="2"/>
        <v/>
      </c>
    </row>
    <row r="21" spans="1:12">
      <c r="A21">
        <v>19</v>
      </c>
      <c r="B21" s="187"/>
      <c r="C21" s="188"/>
      <c r="D21" s="188"/>
      <c r="E21" s="314"/>
      <c r="F21" s="314"/>
      <c r="G21" s="228"/>
      <c r="H21" s="227"/>
      <c r="I21" s="189"/>
      <c r="J21" s="315" t="str">
        <f t="shared" si="0"/>
        <v/>
      </c>
      <c r="K21" s="315" t="str">
        <f t="shared" si="1"/>
        <v/>
      </c>
      <c r="L21" s="315" t="str">
        <f t="shared" si="2"/>
        <v/>
      </c>
    </row>
    <row r="22" spans="1:12">
      <c r="A22">
        <v>20</v>
      </c>
      <c r="B22" s="187"/>
      <c r="C22" s="188"/>
      <c r="D22" s="188"/>
      <c r="E22" s="314"/>
      <c r="F22" s="314"/>
      <c r="G22" s="228"/>
      <c r="H22" s="227"/>
      <c r="I22" s="189"/>
      <c r="J22" s="315" t="str">
        <f t="shared" si="0"/>
        <v/>
      </c>
      <c r="K22" s="315" t="str">
        <f t="shared" si="1"/>
        <v/>
      </c>
      <c r="L22" s="315" t="str">
        <f t="shared" si="2"/>
        <v/>
      </c>
    </row>
    <row r="23" spans="1:12">
      <c r="A23">
        <v>21</v>
      </c>
      <c r="B23" s="187"/>
      <c r="C23" s="188"/>
      <c r="D23" s="188"/>
      <c r="E23" s="314"/>
      <c r="F23" s="314"/>
      <c r="G23" s="228"/>
      <c r="H23" s="227"/>
      <c r="I23" s="189"/>
      <c r="J23" s="315" t="str">
        <f t="shared" si="0"/>
        <v/>
      </c>
      <c r="K23" s="315" t="str">
        <f t="shared" si="1"/>
        <v/>
      </c>
      <c r="L23" s="315" t="str">
        <f t="shared" si="2"/>
        <v/>
      </c>
    </row>
    <row r="24" spans="1:12">
      <c r="A24">
        <v>22</v>
      </c>
      <c r="B24" s="187"/>
      <c r="C24" s="188"/>
      <c r="D24" s="188"/>
      <c r="E24" s="314"/>
      <c r="F24" s="314"/>
      <c r="G24" s="228"/>
      <c r="H24" s="227"/>
      <c r="I24" s="189"/>
      <c r="J24" s="315" t="str">
        <f t="shared" si="0"/>
        <v/>
      </c>
      <c r="K24" s="315" t="str">
        <f t="shared" si="1"/>
        <v/>
      </c>
      <c r="L24" s="315" t="str">
        <f t="shared" si="2"/>
        <v/>
      </c>
    </row>
    <row r="25" spans="1:12">
      <c r="A25">
        <v>23</v>
      </c>
      <c r="B25" s="187"/>
      <c r="C25" s="188"/>
      <c r="D25" s="188"/>
      <c r="E25" s="314"/>
      <c r="F25" s="314"/>
      <c r="G25" s="228"/>
      <c r="H25" s="227"/>
      <c r="I25" s="189"/>
      <c r="J25" s="315" t="str">
        <f t="shared" si="0"/>
        <v/>
      </c>
      <c r="K25" s="315" t="str">
        <f t="shared" si="1"/>
        <v/>
      </c>
      <c r="L25" s="315" t="str">
        <f t="shared" si="2"/>
        <v/>
      </c>
    </row>
    <row r="26" spans="1:12">
      <c r="A26">
        <v>24</v>
      </c>
      <c r="B26" s="187"/>
      <c r="C26" s="188"/>
      <c r="D26" s="188"/>
      <c r="E26" s="314"/>
      <c r="F26" s="314"/>
      <c r="G26" s="228"/>
      <c r="H26" s="227"/>
      <c r="I26" s="189"/>
      <c r="J26" s="315" t="str">
        <f t="shared" si="0"/>
        <v/>
      </c>
      <c r="K26" s="315" t="str">
        <f t="shared" si="1"/>
        <v/>
      </c>
      <c r="L26" s="315" t="str">
        <f t="shared" si="2"/>
        <v/>
      </c>
    </row>
    <row r="27" spans="1:12">
      <c r="A27">
        <v>25</v>
      </c>
      <c r="B27" s="187"/>
      <c r="C27" s="188"/>
      <c r="D27" s="188"/>
      <c r="E27" s="314"/>
      <c r="F27" s="314"/>
      <c r="G27" s="228"/>
      <c r="H27" s="227"/>
      <c r="I27" s="189"/>
      <c r="J27" s="315" t="str">
        <f t="shared" si="0"/>
        <v/>
      </c>
      <c r="K27" s="315" t="str">
        <f t="shared" si="1"/>
        <v/>
      </c>
      <c r="L27" s="315" t="str">
        <f t="shared" si="2"/>
        <v/>
      </c>
    </row>
    <row r="28" spans="1:12">
      <c r="A28">
        <v>26</v>
      </c>
      <c r="B28" s="187"/>
      <c r="C28" s="188"/>
      <c r="D28" s="188"/>
      <c r="E28" s="314"/>
      <c r="F28" s="314"/>
      <c r="G28" s="228"/>
      <c r="H28" s="227"/>
      <c r="I28" s="189"/>
      <c r="J28" s="315" t="str">
        <f t="shared" si="0"/>
        <v/>
      </c>
      <c r="K28" s="315" t="str">
        <f t="shared" si="1"/>
        <v/>
      </c>
      <c r="L28" s="315" t="str">
        <f t="shared" si="2"/>
        <v/>
      </c>
    </row>
    <row r="29" spans="1:12">
      <c r="A29">
        <v>27</v>
      </c>
      <c r="B29" s="187"/>
      <c r="C29" s="188"/>
      <c r="D29" s="188"/>
      <c r="E29" s="314"/>
      <c r="F29" s="314"/>
      <c r="G29" s="228"/>
      <c r="H29" s="227"/>
      <c r="I29" s="189"/>
      <c r="J29" s="315" t="str">
        <f t="shared" si="0"/>
        <v/>
      </c>
      <c r="K29" s="315" t="str">
        <f t="shared" si="1"/>
        <v/>
      </c>
      <c r="L29" s="315" t="str">
        <f t="shared" si="2"/>
        <v/>
      </c>
    </row>
    <row r="30" spans="1:12">
      <c r="A30">
        <v>28</v>
      </c>
      <c r="B30" s="187"/>
      <c r="C30" s="188"/>
      <c r="D30" s="188"/>
      <c r="E30" s="314"/>
      <c r="F30" s="314"/>
      <c r="G30" s="228"/>
      <c r="H30" s="227"/>
      <c r="I30" s="189"/>
      <c r="J30" s="315" t="str">
        <f t="shared" si="0"/>
        <v/>
      </c>
      <c r="K30" s="315" t="str">
        <f t="shared" si="1"/>
        <v/>
      </c>
      <c r="L30" s="315" t="str">
        <f t="shared" si="2"/>
        <v/>
      </c>
    </row>
    <row r="31" spans="1:12">
      <c r="A31">
        <v>29</v>
      </c>
      <c r="B31" s="187"/>
      <c r="C31" s="188"/>
      <c r="D31" s="188"/>
      <c r="E31" s="314"/>
      <c r="F31" s="314"/>
      <c r="G31" s="228"/>
      <c r="H31" s="227"/>
      <c r="I31" s="189"/>
      <c r="J31" s="315" t="str">
        <f t="shared" si="0"/>
        <v/>
      </c>
      <c r="K31" s="315" t="str">
        <f t="shared" si="1"/>
        <v/>
      </c>
      <c r="L31" s="315" t="str">
        <f t="shared" si="2"/>
        <v/>
      </c>
    </row>
    <row r="32" spans="1:12">
      <c r="A32">
        <v>30</v>
      </c>
      <c r="B32" s="187"/>
      <c r="C32" s="188"/>
      <c r="D32" s="188"/>
      <c r="E32" s="314"/>
      <c r="F32" s="314"/>
      <c r="G32" s="228"/>
      <c r="H32" s="227"/>
      <c r="I32" s="189"/>
      <c r="J32" s="315" t="str">
        <f t="shared" si="0"/>
        <v/>
      </c>
      <c r="K32" s="315" t="str">
        <f t="shared" si="1"/>
        <v/>
      </c>
      <c r="L32" s="315" t="str">
        <f t="shared" si="2"/>
        <v/>
      </c>
    </row>
    <row r="33" spans="1:16">
      <c r="A33">
        <v>31</v>
      </c>
      <c r="B33" s="187"/>
      <c r="C33" s="188"/>
      <c r="D33" s="188"/>
      <c r="E33" s="314"/>
      <c r="F33" s="314"/>
      <c r="G33" s="228"/>
      <c r="H33" s="227"/>
      <c r="I33" s="189"/>
      <c r="J33" s="315" t="str">
        <f t="shared" si="0"/>
        <v/>
      </c>
      <c r="K33" s="315" t="str">
        <f t="shared" si="1"/>
        <v/>
      </c>
      <c r="L33" s="315" t="str">
        <f t="shared" si="2"/>
        <v/>
      </c>
    </row>
    <row r="34" spans="1:16">
      <c r="J34" s="309"/>
    </row>
    <row r="35" spans="1:16">
      <c r="B35" s="222" t="s">
        <v>286</v>
      </c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</row>
    <row r="36" spans="1:16">
      <c r="B36" s="222" t="s">
        <v>229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</row>
    <row r="37" spans="1:16">
      <c r="B37" s="392" t="s">
        <v>230</v>
      </c>
      <c r="C37" s="392"/>
      <c r="D37" s="392"/>
      <c r="E37" s="392"/>
      <c r="F37" s="392"/>
      <c r="G37" s="392"/>
      <c r="H37" s="392"/>
      <c r="I37" s="392"/>
      <c r="J37" s="302"/>
      <c r="K37" s="302"/>
      <c r="L37" s="302"/>
      <c r="M37" s="302"/>
    </row>
    <row r="38" spans="1:16">
      <c r="B38" s="296" t="s">
        <v>231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9"/>
      <c r="P38" s="299"/>
    </row>
    <row r="39" spans="1:16">
      <c r="N39" s="299"/>
      <c r="O39" s="309"/>
      <c r="P39" s="299"/>
    </row>
    <row r="40" spans="1:16">
      <c r="N40" s="302"/>
      <c r="O40" s="313"/>
      <c r="P40" s="302"/>
    </row>
    <row r="41" spans="1:16">
      <c r="N41" s="299"/>
      <c r="O41" s="309"/>
      <c r="P41" s="299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L36" sqref="L36"/>
    </sheetView>
  </sheetViews>
  <sheetFormatPr defaultRowHeight="14.25"/>
  <cols>
    <col min="1" max="2" width="9" style="279"/>
    <col min="3" max="3" width="13.375" style="279" customWidth="1"/>
    <col min="4" max="6" width="9" style="279"/>
    <col min="7" max="7" width="8.375" style="279" customWidth="1"/>
    <col min="8" max="8" width="13.25" style="279" customWidth="1"/>
    <col min="9" max="9" width="11.125" style="279" customWidth="1"/>
    <col min="10" max="262" width="9" style="279"/>
    <col min="263" max="263" width="8.375" style="279" customWidth="1"/>
    <col min="264" max="264" width="16" style="279" customWidth="1"/>
    <col min="265" max="518" width="9" style="279"/>
    <col min="519" max="519" width="8.375" style="279" customWidth="1"/>
    <col min="520" max="520" width="16" style="279" customWidth="1"/>
    <col min="521" max="774" width="9" style="279"/>
    <col min="775" max="775" width="8.375" style="279" customWidth="1"/>
    <col min="776" max="776" width="16" style="279" customWidth="1"/>
    <col min="777" max="1030" width="9" style="279"/>
    <col min="1031" max="1031" width="8.375" style="279" customWidth="1"/>
    <col min="1032" max="1032" width="16" style="279" customWidth="1"/>
    <col min="1033" max="1286" width="9" style="279"/>
    <col min="1287" max="1287" width="8.375" style="279" customWidth="1"/>
    <col min="1288" max="1288" width="16" style="279" customWidth="1"/>
    <col min="1289" max="1542" width="9" style="279"/>
    <col min="1543" max="1543" width="8.375" style="279" customWidth="1"/>
    <col min="1544" max="1544" width="16" style="279" customWidth="1"/>
    <col min="1545" max="1798" width="9" style="279"/>
    <col min="1799" max="1799" width="8.375" style="279" customWidth="1"/>
    <col min="1800" max="1800" width="16" style="279" customWidth="1"/>
    <col min="1801" max="2054" width="9" style="279"/>
    <col min="2055" max="2055" width="8.375" style="279" customWidth="1"/>
    <col min="2056" max="2056" width="16" style="279" customWidth="1"/>
    <col min="2057" max="2310" width="9" style="279"/>
    <col min="2311" max="2311" width="8.375" style="279" customWidth="1"/>
    <col min="2312" max="2312" width="16" style="279" customWidth="1"/>
    <col min="2313" max="2566" width="9" style="279"/>
    <col min="2567" max="2567" width="8.375" style="279" customWidth="1"/>
    <col min="2568" max="2568" width="16" style="279" customWidth="1"/>
    <col min="2569" max="2822" width="9" style="279"/>
    <col min="2823" max="2823" width="8.375" style="279" customWidth="1"/>
    <col min="2824" max="2824" width="16" style="279" customWidth="1"/>
    <col min="2825" max="3078" width="9" style="279"/>
    <col min="3079" max="3079" width="8.375" style="279" customWidth="1"/>
    <col min="3080" max="3080" width="16" style="279" customWidth="1"/>
    <col min="3081" max="3334" width="9" style="279"/>
    <col min="3335" max="3335" width="8.375" style="279" customWidth="1"/>
    <col min="3336" max="3336" width="16" style="279" customWidth="1"/>
    <col min="3337" max="3590" width="9" style="279"/>
    <col min="3591" max="3591" width="8.375" style="279" customWidth="1"/>
    <col min="3592" max="3592" width="16" style="279" customWidth="1"/>
    <col min="3593" max="3846" width="9" style="279"/>
    <col min="3847" max="3847" width="8.375" style="279" customWidth="1"/>
    <col min="3848" max="3848" width="16" style="279" customWidth="1"/>
    <col min="3849" max="4102" width="9" style="279"/>
    <col min="4103" max="4103" width="8.375" style="279" customWidth="1"/>
    <col min="4104" max="4104" width="16" style="279" customWidth="1"/>
    <col min="4105" max="4358" width="9" style="279"/>
    <col min="4359" max="4359" width="8.375" style="279" customWidth="1"/>
    <col min="4360" max="4360" width="16" style="279" customWidth="1"/>
    <col min="4361" max="4614" width="9" style="279"/>
    <col min="4615" max="4615" width="8.375" style="279" customWidth="1"/>
    <col min="4616" max="4616" width="16" style="279" customWidth="1"/>
    <col min="4617" max="4870" width="9" style="279"/>
    <col min="4871" max="4871" width="8.375" style="279" customWidth="1"/>
    <col min="4872" max="4872" width="16" style="279" customWidth="1"/>
    <col min="4873" max="5126" width="9" style="279"/>
    <col min="5127" max="5127" width="8.375" style="279" customWidth="1"/>
    <col min="5128" max="5128" width="16" style="279" customWidth="1"/>
    <col min="5129" max="5382" width="9" style="279"/>
    <col min="5383" max="5383" width="8.375" style="279" customWidth="1"/>
    <col min="5384" max="5384" width="16" style="279" customWidth="1"/>
    <col min="5385" max="5638" width="9" style="279"/>
    <col min="5639" max="5639" width="8.375" style="279" customWidth="1"/>
    <col min="5640" max="5640" width="16" style="279" customWidth="1"/>
    <col min="5641" max="5894" width="9" style="279"/>
    <col min="5895" max="5895" width="8.375" style="279" customWidth="1"/>
    <col min="5896" max="5896" width="16" style="279" customWidth="1"/>
    <col min="5897" max="6150" width="9" style="279"/>
    <col min="6151" max="6151" width="8.375" style="279" customWidth="1"/>
    <col min="6152" max="6152" width="16" style="279" customWidth="1"/>
    <col min="6153" max="6406" width="9" style="279"/>
    <col min="6407" max="6407" width="8.375" style="279" customWidth="1"/>
    <col min="6408" max="6408" width="16" style="279" customWidth="1"/>
    <col min="6409" max="6662" width="9" style="279"/>
    <col min="6663" max="6663" width="8.375" style="279" customWidth="1"/>
    <col min="6664" max="6664" width="16" style="279" customWidth="1"/>
    <col min="6665" max="6918" width="9" style="279"/>
    <col min="6919" max="6919" width="8.375" style="279" customWidth="1"/>
    <col min="6920" max="6920" width="16" style="279" customWidth="1"/>
    <col min="6921" max="7174" width="9" style="279"/>
    <col min="7175" max="7175" width="8.375" style="279" customWidth="1"/>
    <col min="7176" max="7176" width="16" style="279" customWidth="1"/>
    <col min="7177" max="7430" width="9" style="279"/>
    <col min="7431" max="7431" width="8.375" style="279" customWidth="1"/>
    <col min="7432" max="7432" width="16" style="279" customWidth="1"/>
    <col min="7433" max="7686" width="9" style="279"/>
    <col min="7687" max="7687" width="8.375" style="279" customWidth="1"/>
    <col min="7688" max="7688" width="16" style="279" customWidth="1"/>
    <col min="7689" max="7942" width="9" style="279"/>
    <col min="7943" max="7943" width="8.375" style="279" customWidth="1"/>
    <col min="7944" max="7944" width="16" style="279" customWidth="1"/>
    <col min="7945" max="8198" width="9" style="279"/>
    <col min="8199" max="8199" width="8.375" style="279" customWidth="1"/>
    <col min="8200" max="8200" width="16" style="279" customWidth="1"/>
    <col min="8201" max="8454" width="9" style="279"/>
    <col min="8455" max="8455" width="8.375" style="279" customWidth="1"/>
    <col min="8456" max="8456" width="16" style="279" customWidth="1"/>
    <col min="8457" max="8710" width="9" style="279"/>
    <col min="8711" max="8711" width="8.375" style="279" customWidth="1"/>
    <col min="8712" max="8712" width="16" style="279" customWidth="1"/>
    <col min="8713" max="8966" width="9" style="279"/>
    <col min="8967" max="8967" width="8.375" style="279" customWidth="1"/>
    <col min="8968" max="8968" width="16" style="279" customWidth="1"/>
    <col min="8969" max="9222" width="9" style="279"/>
    <col min="9223" max="9223" width="8.375" style="279" customWidth="1"/>
    <col min="9224" max="9224" width="16" style="279" customWidth="1"/>
    <col min="9225" max="9478" width="9" style="279"/>
    <col min="9479" max="9479" width="8.375" style="279" customWidth="1"/>
    <col min="9480" max="9480" width="16" style="279" customWidth="1"/>
    <col min="9481" max="9734" width="9" style="279"/>
    <col min="9735" max="9735" width="8.375" style="279" customWidth="1"/>
    <col min="9736" max="9736" width="16" style="279" customWidth="1"/>
    <col min="9737" max="9990" width="9" style="279"/>
    <col min="9991" max="9991" width="8.375" style="279" customWidth="1"/>
    <col min="9992" max="9992" width="16" style="279" customWidth="1"/>
    <col min="9993" max="10246" width="9" style="279"/>
    <col min="10247" max="10247" width="8.375" style="279" customWidth="1"/>
    <col min="10248" max="10248" width="16" style="279" customWidth="1"/>
    <col min="10249" max="10502" width="9" style="279"/>
    <col min="10503" max="10503" width="8.375" style="279" customWidth="1"/>
    <col min="10504" max="10504" width="16" style="279" customWidth="1"/>
    <col min="10505" max="10758" width="9" style="279"/>
    <col min="10759" max="10759" width="8.375" style="279" customWidth="1"/>
    <col min="10760" max="10760" width="16" style="279" customWidth="1"/>
    <col min="10761" max="11014" width="9" style="279"/>
    <col min="11015" max="11015" width="8.375" style="279" customWidth="1"/>
    <col min="11016" max="11016" width="16" style="279" customWidth="1"/>
    <col min="11017" max="11270" width="9" style="279"/>
    <col min="11271" max="11271" width="8.375" style="279" customWidth="1"/>
    <col min="11272" max="11272" width="16" style="279" customWidth="1"/>
    <col min="11273" max="11526" width="9" style="279"/>
    <col min="11527" max="11527" width="8.375" style="279" customWidth="1"/>
    <col min="11528" max="11528" width="16" style="279" customWidth="1"/>
    <col min="11529" max="11782" width="9" style="279"/>
    <col min="11783" max="11783" width="8.375" style="279" customWidth="1"/>
    <col min="11784" max="11784" width="16" style="279" customWidth="1"/>
    <col min="11785" max="12038" width="9" style="279"/>
    <col min="12039" max="12039" width="8.375" style="279" customWidth="1"/>
    <col min="12040" max="12040" width="16" style="279" customWidth="1"/>
    <col min="12041" max="12294" width="9" style="279"/>
    <col min="12295" max="12295" width="8.375" style="279" customWidth="1"/>
    <col min="12296" max="12296" width="16" style="279" customWidth="1"/>
    <col min="12297" max="12550" width="9" style="279"/>
    <col min="12551" max="12551" width="8.375" style="279" customWidth="1"/>
    <col min="12552" max="12552" width="16" style="279" customWidth="1"/>
    <col min="12553" max="12806" width="9" style="279"/>
    <col min="12807" max="12807" width="8.375" style="279" customWidth="1"/>
    <col min="12808" max="12808" width="16" style="279" customWidth="1"/>
    <col min="12809" max="13062" width="9" style="279"/>
    <col min="13063" max="13063" width="8.375" style="279" customWidth="1"/>
    <col min="13064" max="13064" width="16" style="279" customWidth="1"/>
    <col min="13065" max="13318" width="9" style="279"/>
    <col min="13319" max="13319" width="8.375" style="279" customWidth="1"/>
    <col min="13320" max="13320" width="16" style="279" customWidth="1"/>
    <col min="13321" max="13574" width="9" style="279"/>
    <col min="13575" max="13575" width="8.375" style="279" customWidth="1"/>
    <col min="13576" max="13576" width="16" style="279" customWidth="1"/>
    <col min="13577" max="13830" width="9" style="279"/>
    <col min="13831" max="13831" width="8.375" style="279" customWidth="1"/>
    <col min="13832" max="13832" width="16" style="279" customWidth="1"/>
    <col min="13833" max="14086" width="9" style="279"/>
    <col min="14087" max="14087" width="8.375" style="279" customWidth="1"/>
    <col min="14088" max="14088" width="16" style="279" customWidth="1"/>
    <col min="14089" max="14342" width="9" style="279"/>
    <col min="14343" max="14343" width="8.375" style="279" customWidth="1"/>
    <col min="14344" max="14344" width="16" style="279" customWidth="1"/>
    <col min="14345" max="14598" width="9" style="279"/>
    <col min="14599" max="14599" width="8.375" style="279" customWidth="1"/>
    <col min="14600" max="14600" width="16" style="279" customWidth="1"/>
    <col min="14601" max="14854" width="9" style="279"/>
    <col min="14855" max="14855" width="8.375" style="279" customWidth="1"/>
    <col min="14856" max="14856" width="16" style="279" customWidth="1"/>
    <col min="14857" max="15110" width="9" style="279"/>
    <col min="15111" max="15111" width="8.375" style="279" customWidth="1"/>
    <col min="15112" max="15112" width="16" style="279" customWidth="1"/>
    <col min="15113" max="15366" width="9" style="279"/>
    <col min="15367" max="15367" width="8.375" style="279" customWidth="1"/>
    <col min="15368" max="15368" width="16" style="279" customWidth="1"/>
    <col min="15369" max="15622" width="9" style="279"/>
    <col min="15623" max="15623" width="8.375" style="279" customWidth="1"/>
    <col min="15624" max="15624" width="16" style="279" customWidth="1"/>
    <col min="15625" max="15878" width="9" style="279"/>
    <col min="15879" max="15879" width="8.375" style="279" customWidth="1"/>
    <col min="15880" max="15880" width="16" style="279" customWidth="1"/>
    <col min="15881" max="16134" width="9" style="279"/>
    <col min="16135" max="16135" width="8.375" style="279" customWidth="1"/>
    <col min="16136" max="16136" width="16" style="279" customWidth="1"/>
    <col min="16137" max="16384" width="9" style="279"/>
  </cols>
  <sheetData>
    <row r="1" spans="1:8">
      <c r="A1" s="278"/>
      <c r="H1" s="278"/>
    </row>
    <row r="2" spans="1:8" s="280" customFormat="1" ht="13.5"/>
    <row r="3" spans="1:8" s="280" customFormat="1" ht="13.5">
      <c r="H3" s="281" t="s">
        <v>199</v>
      </c>
    </row>
    <row r="4" spans="1:8" s="280" customFormat="1" ht="13.5"/>
    <row r="5" spans="1:8" s="280" customFormat="1" ht="13.5">
      <c r="A5" s="394" t="s">
        <v>200</v>
      </c>
      <c r="B5" s="394"/>
      <c r="C5" s="394"/>
    </row>
    <row r="6" spans="1:8" s="280" customFormat="1" ht="13.5">
      <c r="A6" s="394" t="s">
        <v>201</v>
      </c>
      <c r="B6" s="394"/>
      <c r="C6" s="394"/>
    </row>
    <row r="7" spans="1:8" s="280" customFormat="1" ht="13.5">
      <c r="A7" s="394" t="s">
        <v>214</v>
      </c>
      <c r="B7" s="394"/>
      <c r="C7" s="394"/>
    </row>
    <row r="8" spans="1:8" s="280" customFormat="1" ht="13.5">
      <c r="A8" s="282"/>
      <c r="B8" s="282"/>
      <c r="C8" s="282"/>
    </row>
    <row r="9" spans="1:8" s="280" customFormat="1" ht="13.5">
      <c r="A9" s="282"/>
      <c r="B9" s="282"/>
      <c r="C9" s="282"/>
    </row>
    <row r="10" spans="1:8" s="280" customFormat="1" ht="13.5"/>
    <row r="11" spans="1:8" s="280" customFormat="1" ht="13.5">
      <c r="E11" s="282"/>
    </row>
    <row r="12" spans="1:8" s="280" customFormat="1" ht="13.5">
      <c r="E12" s="282"/>
      <c r="F12" s="280" t="s">
        <v>202</v>
      </c>
    </row>
    <row r="13" spans="1:8" s="280" customFormat="1" ht="13.5">
      <c r="E13" s="282"/>
      <c r="F13" s="280" t="s">
        <v>203</v>
      </c>
    </row>
    <row r="14" spans="1:8" s="280" customFormat="1" ht="13.5">
      <c r="E14" s="283"/>
    </row>
    <row r="15" spans="1:8" s="280" customFormat="1" ht="13.5"/>
    <row r="16" spans="1:8" s="280" customFormat="1" ht="13.5"/>
    <row r="17" spans="1:9" s="280" customFormat="1" ht="13.5"/>
    <row r="18" spans="1:9" s="280" customFormat="1" ht="13.5"/>
    <row r="19" spans="1:9" ht="14.25" customHeight="1">
      <c r="A19" s="396" t="str">
        <f>様式1!E7</f>
        <v>○○○国○○○○○○○○○普及促進事業</v>
      </c>
      <c r="B19" s="396"/>
      <c r="C19" s="396"/>
      <c r="D19" s="396"/>
      <c r="E19" s="396"/>
      <c r="F19" s="396"/>
      <c r="G19" s="396"/>
      <c r="H19" s="396"/>
      <c r="I19" s="396"/>
    </row>
    <row r="20" spans="1:9">
      <c r="A20" s="396"/>
      <c r="B20" s="396"/>
      <c r="C20" s="396"/>
      <c r="D20" s="396"/>
      <c r="E20" s="396"/>
      <c r="F20" s="396"/>
      <c r="G20" s="396"/>
      <c r="H20" s="396"/>
      <c r="I20" s="396"/>
    </row>
    <row r="21" spans="1:9">
      <c r="A21" s="397" t="s">
        <v>277</v>
      </c>
      <c r="B21" s="397"/>
      <c r="C21" s="397"/>
      <c r="D21" s="397"/>
      <c r="E21" s="397"/>
      <c r="F21" s="397"/>
      <c r="G21" s="397"/>
      <c r="H21" s="397"/>
      <c r="I21" s="397"/>
    </row>
    <row r="22" spans="1:9">
      <c r="A22" s="284"/>
      <c r="B22" s="284"/>
      <c r="C22" s="284"/>
      <c r="D22" s="284"/>
      <c r="E22" s="284"/>
      <c r="F22" s="284"/>
      <c r="G22" s="284"/>
      <c r="H22" s="284"/>
    </row>
    <row r="23" spans="1:9">
      <c r="A23" s="284"/>
      <c r="B23" s="284"/>
      <c r="C23" s="284"/>
      <c r="D23" s="284"/>
      <c r="E23" s="284"/>
      <c r="F23" s="284"/>
      <c r="G23" s="284"/>
      <c r="H23" s="284"/>
    </row>
    <row r="24" spans="1:9">
      <c r="A24" s="395" t="s">
        <v>276</v>
      </c>
      <c r="B24" s="395"/>
      <c r="C24" s="395"/>
      <c r="D24" s="395"/>
      <c r="E24" s="395"/>
      <c r="F24" s="395"/>
      <c r="G24" s="395"/>
      <c r="H24" s="395"/>
    </row>
    <row r="28" spans="1:9">
      <c r="A28" s="393" t="s">
        <v>205</v>
      </c>
      <c r="B28" s="393"/>
      <c r="C28" s="393"/>
      <c r="D28" s="393"/>
      <c r="E28" s="393"/>
      <c r="F28" s="393"/>
      <c r="G28" s="393"/>
      <c r="H28" s="393"/>
    </row>
    <row r="30" spans="1:9">
      <c r="A30" s="279" t="s">
        <v>291</v>
      </c>
      <c r="C30" s="289">
        <f>様式1!G35</f>
        <v>19789920</v>
      </c>
      <c r="D30" s="288" t="s">
        <v>12</v>
      </c>
      <c r="E30" s="286" t="s">
        <v>216</v>
      </c>
      <c r="F30" s="286"/>
      <c r="G30" s="286"/>
      <c r="H30" s="289">
        <f>様式1!G34</f>
        <v>1465920</v>
      </c>
      <c r="I30" s="279" t="s">
        <v>215</v>
      </c>
    </row>
    <row r="33" spans="1:8">
      <c r="A33" s="279" t="s">
        <v>292</v>
      </c>
    </row>
    <row r="43" spans="1:8">
      <c r="H43" s="285" t="s">
        <v>208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K15" sqref="K15:K16"/>
    </sheetView>
  </sheetViews>
  <sheetFormatPr defaultRowHeight="14.25"/>
  <cols>
    <col min="1" max="2" width="9" style="279"/>
    <col min="3" max="3" width="13.375" style="279" customWidth="1"/>
    <col min="4" max="6" width="9" style="279"/>
    <col min="7" max="7" width="8.375" style="279" customWidth="1"/>
    <col min="8" max="8" width="13.25" style="279" customWidth="1"/>
    <col min="9" max="9" width="11.125" style="279" customWidth="1"/>
    <col min="10" max="262" width="9" style="279"/>
    <col min="263" max="263" width="8.375" style="279" customWidth="1"/>
    <col min="264" max="264" width="16" style="279" customWidth="1"/>
    <col min="265" max="518" width="9" style="279"/>
    <col min="519" max="519" width="8.375" style="279" customWidth="1"/>
    <col min="520" max="520" width="16" style="279" customWidth="1"/>
    <col min="521" max="774" width="9" style="279"/>
    <col min="775" max="775" width="8.375" style="279" customWidth="1"/>
    <col min="776" max="776" width="16" style="279" customWidth="1"/>
    <col min="777" max="1030" width="9" style="279"/>
    <col min="1031" max="1031" width="8.375" style="279" customWidth="1"/>
    <col min="1032" max="1032" width="16" style="279" customWidth="1"/>
    <col min="1033" max="1286" width="9" style="279"/>
    <col min="1287" max="1287" width="8.375" style="279" customWidth="1"/>
    <col min="1288" max="1288" width="16" style="279" customWidth="1"/>
    <col min="1289" max="1542" width="9" style="279"/>
    <col min="1543" max="1543" width="8.375" style="279" customWidth="1"/>
    <col min="1544" max="1544" width="16" style="279" customWidth="1"/>
    <col min="1545" max="1798" width="9" style="279"/>
    <col min="1799" max="1799" width="8.375" style="279" customWidth="1"/>
    <col min="1800" max="1800" width="16" style="279" customWidth="1"/>
    <col min="1801" max="2054" width="9" style="279"/>
    <col min="2055" max="2055" width="8.375" style="279" customWidth="1"/>
    <col min="2056" max="2056" width="16" style="279" customWidth="1"/>
    <col min="2057" max="2310" width="9" style="279"/>
    <col min="2311" max="2311" width="8.375" style="279" customWidth="1"/>
    <col min="2312" max="2312" width="16" style="279" customWidth="1"/>
    <col min="2313" max="2566" width="9" style="279"/>
    <col min="2567" max="2567" width="8.375" style="279" customWidth="1"/>
    <col min="2568" max="2568" width="16" style="279" customWidth="1"/>
    <col min="2569" max="2822" width="9" style="279"/>
    <col min="2823" max="2823" width="8.375" style="279" customWidth="1"/>
    <col min="2824" max="2824" width="16" style="279" customWidth="1"/>
    <col min="2825" max="3078" width="9" style="279"/>
    <col min="3079" max="3079" width="8.375" style="279" customWidth="1"/>
    <col min="3080" max="3080" width="16" style="279" customWidth="1"/>
    <col min="3081" max="3334" width="9" style="279"/>
    <col min="3335" max="3335" width="8.375" style="279" customWidth="1"/>
    <col min="3336" max="3336" width="16" style="279" customWidth="1"/>
    <col min="3337" max="3590" width="9" style="279"/>
    <col min="3591" max="3591" width="8.375" style="279" customWidth="1"/>
    <col min="3592" max="3592" width="16" style="279" customWidth="1"/>
    <col min="3593" max="3846" width="9" style="279"/>
    <col min="3847" max="3847" width="8.375" style="279" customWidth="1"/>
    <col min="3848" max="3848" width="16" style="279" customWidth="1"/>
    <col min="3849" max="4102" width="9" style="279"/>
    <col min="4103" max="4103" width="8.375" style="279" customWidth="1"/>
    <col min="4104" max="4104" width="16" style="279" customWidth="1"/>
    <col min="4105" max="4358" width="9" style="279"/>
    <col min="4359" max="4359" width="8.375" style="279" customWidth="1"/>
    <col min="4360" max="4360" width="16" style="279" customWidth="1"/>
    <col min="4361" max="4614" width="9" style="279"/>
    <col min="4615" max="4615" width="8.375" style="279" customWidth="1"/>
    <col min="4616" max="4616" width="16" style="279" customWidth="1"/>
    <col min="4617" max="4870" width="9" style="279"/>
    <col min="4871" max="4871" width="8.375" style="279" customWidth="1"/>
    <col min="4872" max="4872" width="16" style="279" customWidth="1"/>
    <col min="4873" max="5126" width="9" style="279"/>
    <col min="5127" max="5127" width="8.375" style="279" customWidth="1"/>
    <col min="5128" max="5128" width="16" style="279" customWidth="1"/>
    <col min="5129" max="5382" width="9" style="279"/>
    <col min="5383" max="5383" width="8.375" style="279" customWidth="1"/>
    <col min="5384" max="5384" width="16" style="279" customWidth="1"/>
    <col min="5385" max="5638" width="9" style="279"/>
    <col min="5639" max="5639" width="8.375" style="279" customWidth="1"/>
    <col min="5640" max="5640" width="16" style="279" customWidth="1"/>
    <col min="5641" max="5894" width="9" style="279"/>
    <col min="5895" max="5895" width="8.375" style="279" customWidth="1"/>
    <col min="5896" max="5896" width="16" style="279" customWidth="1"/>
    <col min="5897" max="6150" width="9" style="279"/>
    <col min="6151" max="6151" width="8.375" style="279" customWidth="1"/>
    <col min="6152" max="6152" width="16" style="279" customWidth="1"/>
    <col min="6153" max="6406" width="9" style="279"/>
    <col min="6407" max="6407" width="8.375" style="279" customWidth="1"/>
    <col min="6408" max="6408" width="16" style="279" customWidth="1"/>
    <col min="6409" max="6662" width="9" style="279"/>
    <col min="6663" max="6663" width="8.375" style="279" customWidth="1"/>
    <col min="6664" max="6664" width="16" style="279" customWidth="1"/>
    <col min="6665" max="6918" width="9" style="279"/>
    <col min="6919" max="6919" width="8.375" style="279" customWidth="1"/>
    <col min="6920" max="6920" width="16" style="279" customWidth="1"/>
    <col min="6921" max="7174" width="9" style="279"/>
    <col min="7175" max="7175" width="8.375" style="279" customWidth="1"/>
    <col min="7176" max="7176" width="16" style="279" customWidth="1"/>
    <col min="7177" max="7430" width="9" style="279"/>
    <col min="7431" max="7431" width="8.375" style="279" customWidth="1"/>
    <col min="7432" max="7432" width="16" style="279" customWidth="1"/>
    <col min="7433" max="7686" width="9" style="279"/>
    <col min="7687" max="7687" width="8.375" style="279" customWidth="1"/>
    <col min="7688" max="7688" width="16" style="279" customWidth="1"/>
    <col min="7689" max="7942" width="9" style="279"/>
    <col min="7943" max="7943" width="8.375" style="279" customWidth="1"/>
    <col min="7944" max="7944" width="16" style="279" customWidth="1"/>
    <col min="7945" max="8198" width="9" style="279"/>
    <col min="8199" max="8199" width="8.375" style="279" customWidth="1"/>
    <col min="8200" max="8200" width="16" style="279" customWidth="1"/>
    <col min="8201" max="8454" width="9" style="279"/>
    <col min="8455" max="8455" width="8.375" style="279" customWidth="1"/>
    <col min="8456" max="8456" width="16" style="279" customWidth="1"/>
    <col min="8457" max="8710" width="9" style="279"/>
    <col min="8711" max="8711" width="8.375" style="279" customWidth="1"/>
    <col min="8712" max="8712" width="16" style="279" customWidth="1"/>
    <col min="8713" max="8966" width="9" style="279"/>
    <col min="8967" max="8967" width="8.375" style="279" customWidth="1"/>
    <col min="8968" max="8968" width="16" style="279" customWidth="1"/>
    <col min="8969" max="9222" width="9" style="279"/>
    <col min="9223" max="9223" width="8.375" style="279" customWidth="1"/>
    <col min="9224" max="9224" width="16" style="279" customWidth="1"/>
    <col min="9225" max="9478" width="9" style="279"/>
    <col min="9479" max="9479" width="8.375" style="279" customWidth="1"/>
    <col min="9480" max="9480" width="16" style="279" customWidth="1"/>
    <col min="9481" max="9734" width="9" style="279"/>
    <col min="9735" max="9735" width="8.375" style="279" customWidth="1"/>
    <col min="9736" max="9736" width="16" style="279" customWidth="1"/>
    <col min="9737" max="9990" width="9" style="279"/>
    <col min="9991" max="9991" width="8.375" style="279" customWidth="1"/>
    <col min="9992" max="9992" width="16" style="279" customWidth="1"/>
    <col min="9993" max="10246" width="9" style="279"/>
    <col min="10247" max="10247" width="8.375" style="279" customWidth="1"/>
    <col min="10248" max="10248" width="16" style="279" customWidth="1"/>
    <col min="10249" max="10502" width="9" style="279"/>
    <col min="10503" max="10503" width="8.375" style="279" customWidth="1"/>
    <col min="10504" max="10504" width="16" style="279" customWidth="1"/>
    <col min="10505" max="10758" width="9" style="279"/>
    <col min="10759" max="10759" width="8.375" style="279" customWidth="1"/>
    <col min="10760" max="10760" width="16" style="279" customWidth="1"/>
    <col min="10761" max="11014" width="9" style="279"/>
    <col min="11015" max="11015" width="8.375" style="279" customWidth="1"/>
    <col min="11016" max="11016" width="16" style="279" customWidth="1"/>
    <col min="11017" max="11270" width="9" style="279"/>
    <col min="11271" max="11271" width="8.375" style="279" customWidth="1"/>
    <col min="11272" max="11272" width="16" style="279" customWidth="1"/>
    <col min="11273" max="11526" width="9" style="279"/>
    <col min="11527" max="11527" width="8.375" style="279" customWidth="1"/>
    <col min="11528" max="11528" width="16" style="279" customWidth="1"/>
    <col min="11529" max="11782" width="9" style="279"/>
    <col min="11783" max="11783" width="8.375" style="279" customWidth="1"/>
    <col min="11784" max="11784" width="16" style="279" customWidth="1"/>
    <col min="11785" max="12038" width="9" style="279"/>
    <col min="12039" max="12039" width="8.375" style="279" customWidth="1"/>
    <col min="12040" max="12040" width="16" style="279" customWidth="1"/>
    <col min="12041" max="12294" width="9" style="279"/>
    <col min="12295" max="12295" width="8.375" style="279" customWidth="1"/>
    <col min="12296" max="12296" width="16" style="279" customWidth="1"/>
    <col min="12297" max="12550" width="9" style="279"/>
    <col min="12551" max="12551" width="8.375" style="279" customWidth="1"/>
    <col min="12552" max="12552" width="16" style="279" customWidth="1"/>
    <col min="12553" max="12806" width="9" style="279"/>
    <col min="12807" max="12807" width="8.375" style="279" customWidth="1"/>
    <col min="12808" max="12808" width="16" style="279" customWidth="1"/>
    <col min="12809" max="13062" width="9" style="279"/>
    <col min="13063" max="13063" width="8.375" style="279" customWidth="1"/>
    <col min="13064" max="13064" width="16" style="279" customWidth="1"/>
    <col min="13065" max="13318" width="9" style="279"/>
    <col min="13319" max="13319" width="8.375" style="279" customWidth="1"/>
    <col min="13320" max="13320" width="16" style="279" customWidth="1"/>
    <col min="13321" max="13574" width="9" style="279"/>
    <col min="13575" max="13575" width="8.375" style="279" customWidth="1"/>
    <col min="13576" max="13576" width="16" style="279" customWidth="1"/>
    <col min="13577" max="13830" width="9" style="279"/>
    <col min="13831" max="13831" width="8.375" style="279" customWidth="1"/>
    <col min="13832" max="13832" width="16" style="279" customWidth="1"/>
    <col min="13833" max="14086" width="9" style="279"/>
    <col min="14087" max="14087" width="8.375" style="279" customWidth="1"/>
    <col min="14088" max="14088" width="16" style="279" customWidth="1"/>
    <col min="14089" max="14342" width="9" style="279"/>
    <col min="14343" max="14343" width="8.375" style="279" customWidth="1"/>
    <col min="14344" max="14344" width="16" style="279" customWidth="1"/>
    <col min="14345" max="14598" width="9" style="279"/>
    <col min="14599" max="14599" width="8.375" style="279" customWidth="1"/>
    <col min="14600" max="14600" width="16" style="279" customWidth="1"/>
    <col min="14601" max="14854" width="9" style="279"/>
    <col min="14855" max="14855" width="8.375" style="279" customWidth="1"/>
    <col min="14856" max="14856" width="16" style="279" customWidth="1"/>
    <col min="14857" max="15110" width="9" style="279"/>
    <col min="15111" max="15111" width="8.375" style="279" customWidth="1"/>
    <col min="15112" max="15112" width="16" style="279" customWidth="1"/>
    <col min="15113" max="15366" width="9" style="279"/>
    <col min="15367" max="15367" width="8.375" style="279" customWidth="1"/>
    <col min="15368" max="15368" width="16" style="279" customWidth="1"/>
    <col min="15369" max="15622" width="9" style="279"/>
    <col min="15623" max="15623" width="8.375" style="279" customWidth="1"/>
    <col min="15624" max="15624" width="16" style="279" customWidth="1"/>
    <col min="15625" max="15878" width="9" style="279"/>
    <col min="15879" max="15879" width="8.375" style="279" customWidth="1"/>
    <col min="15880" max="15880" width="16" style="279" customWidth="1"/>
    <col min="15881" max="16134" width="9" style="279"/>
    <col min="16135" max="16135" width="8.375" style="279" customWidth="1"/>
    <col min="16136" max="16136" width="16" style="279" customWidth="1"/>
    <col min="16137" max="16384" width="9" style="279"/>
  </cols>
  <sheetData>
    <row r="1" spans="1:8">
      <c r="A1" s="278"/>
      <c r="H1" s="278"/>
    </row>
    <row r="2" spans="1:8" s="280" customFormat="1" ht="13.5"/>
    <row r="3" spans="1:8" s="280" customFormat="1" ht="13.5">
      <c r="H3" s="281" t="s">
        <v>199</v>
      </c>
    </row>
    <row r="4" spans="1:8" s="280" customFormat="1" ht="13.5"/>
    <row r="5" spans="1:8" s="280" customFormat="1" ht="13.5">
      <c r="A5" s="394" t="s">
        <v>200</v>
      </c>
      <c r="B5" s="394"/>
      <c r="C5" s="394"/>
    </row>
    <row r="6" spans="1:8" s="280" customFormat="1" ht="13.5">
      <c r="A6" s="394" t="s">
        <v>201</v>
      </c>
      <c r="B6" s="394"/>
      <c r="C6" s="394"/>
    </row>
    <row r="7" spans="1:8" s="280" customFormat="1" ht="13.5">
      <c r="A7" s="394" t="s">
        <v>214</v>
      </c>
      <c r="B7" s="394"/>
      <c r="C7" s="394"/>
    </row>
    <row r="8" spans="1:8" s="280" customFormat="1" ht="13.5">
      <c r="A8" s="303"/>
      <c r="B8" s="303"/>
      <c r="C8" s="303"/>
    </row>
    <row r="9" spans="1:8" s="280" customFormat="1" ht="13.5">
      <c r="A9" s="303"/>
      <c r="B9" s="303"/>
      <c r="C9" s="303"/>
    </row>
    <row r="10" spans="1:8" s="280" customFormat="1" ht="13.5"/>
    <row r="11" spans="1:8" s="280" customFormat="1" ht="13.5">
      <c r="E11" s="303"/>
    </row>
    <row r="12" spans="1:8" s="280" customFormat="1" ht="13.5">
      <c r="E12" s="303"/>
      <c r="F12" s="280" t="s">
        <v>202</v>
      </c>
    </row>
    <row r="13" spans="1:8" s="280" customFormat="1" ht="13.5">
      <c r="E13" s="303"/>
      <c r="F13" s="280" t="s">
        <v>203</v>
      </c>
    </row>
    <row r="14" spans="1:8" s="280" customFormat="1" ht="13.5">
      <c r="E14" s="283"/>
    </row>
    <row r="15" spans="1:8" s="280" customFormat="1" ht="13.5"/>
    <row r="16" spans="1:8" s="280" customFormat="1" ht="13.5"/>
    <row r="17" spans="1:9" s="280" customFormat="1" ht="13.5"/>
    <row r="18" spans="1:9" s="280" customFormat="1" ht="13.5"/>
    <row r="19" spans="1:9" ht="14.25" customHeight="1">
      <c r="A19" s="396" t="str">
        <f>様式1!E7</f>
        <v>○○○国○○○○○○○○○普及促進事業</v>
      </c>
      <c r="B19" s="396"/>
      <c r="C19" s="396"/>
      <c r="D19" s="396"/>
      <c r="E19" s="396"/>
      <c r="F19" s="396"/>
      <c r="G19" s="396"/>
      <c r="H19" s="396"/>
      <c r="I19" s="396"/>
    </row>
    <row r="20" spans="1:9">
      <c r="A20" s="396"/>
      <c r="B20" s="396"/>
      <c r="C20" s="396"/>
      <c r="D20" s="396"/>
      <c r="E20" s="396"/>
      <c r="F20" s="396"/>
      <c r="G20" s="396"/>
      <c r="H20" s="396"/>
      <c r="I20" s="396"/>
    </row>
    <row r="21" spans="1:9">
      <c r="A21" s="397" t="s">
        <v>213</v>
      </c>
      <c r="B21" s="397"/>
      <c r="C21" s="397"/>
      <c r="D21" s="397"/>
      <c r="E21" s="397"/>
      <c r="F21" s="397"/>
      <c r="G21" s="397"/>
      <c r="H21" s="397"/>
      <c r="I21" s="397"/>
    </row>
    <row r="22" spans="1:9">
      <c r="A22" s="284"/>
      <c r="B22" s="284"/>
      <c r="C22" s="284"/>
      <c r="D22" s="284"/>
      <c r="E22" s="284"/>
      <c r="F22" s="284"/>
      <c r="G22" s="284"/>
      <c r="H22" s="284"/>
    </row>
    <row r="23" spans="1:9">
      <c r="A23" s="284"/>
      <c r="B23" s="284"/>
      <c r="C23" s="284"/>
      <c r="D23" s="284"/>
      <c r="E23" s="284"/>
      <c r="F23" s="284"/>
      <c r="G23" s="284"/>
      <c r="H23" s="284"/>
    </row>
    <row r="24" spans="1:9">
      <c r="A24" s="395" t="s">
        <v>204</v>
      </c>
      <c r="B24" s="395"/>
      <c r="C24" s="395"/>
      <c r="D24" s="395"/>
      <c r="E24" s="395"/>
      <c r="F24" s="395"/>
      <c r="G24" s="395"/>
      <c r="H24" s="395"/>
    </row>
    <row r="28" spans="1:9">
      <c r="A28" s="393" t="s">
        <v>205</v>
      </c>
      <c r="B28" s="393"/>
      <c r="C28" s="393"/>
      <c r="D28" s="393"/>
      <c r="E28" s="393"/>
      <c r="F28" s="393"/>
      <c r="G28" s="393"/>
      <c r="H28" s="393"/>
    </row>
    <row r="30" spans="1:9">
      <c r="A30" s="279" t="s">
        <v>206</v>
      </c>
      <c r="C30" s="289">
        <f>様式1!G35</f>
        <v>19789920</v>
      </c>
      <c r="D30" s="304" t="s">
        <v>12</v>
      </c>
      <c r="E30" s="286" t="s">
        <v>216</v>
      </c>
      <c r="F30" s="286"/>
      <c r="G30" s="286"/>
      <c r="H30" s="289">
        <f>様式1!G34</f>
        <v>1465920</v>
      </c>
      <c r="I30" s="279" t="s">
        <v>215</v>
      </c>
    </row>
    <row r="33" spans="1:8">
      <c r="A33" s="279" t="s">
        <v>207</v>
      </c>
    </row>
    <row r="43" spans="1:8">
      <c r="H43" s="285" t="s">
        <v>208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R40"/>
  <sheetViews>
    <sheetView showGridLines="0" view="pageBreakPreview" zoomScale="90" zoomScaleNormal="100" zoomScaleSheetLayoutView="90" workbookViewId="0">
      <selection activeCell="G1" sqref="G1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8" ht="23.25" customHeight="1">
      <c r="A1" s="403" t="str">
        <f>IF(B5="見積金額内訳書","",IF(B5="最終見積金額内訳書","",Q6))</f>
        <v/>
      </c>
      <c r="B1" s="403"/>
      <c r="C1" s="403"/>
      <c r="F1" s="111"/>
      <c r="G1" s="557" t="str">
        <f>IF(B5="見積金額内訳書",R4,"")</f>
        <v>様式１</v>
      </c>
      <c r="H1" s="35"/>
      <c r="I1" s="35"/>
      <c r="J1" s="35"/>
      <c r="K1" s="35"/>
      <c r="L1" s="35"/>
    </row>
    <row r="2" spans="1:18" ht="15" customHeight="1">
      <c r="A2" s="403"/>
      <c r="B2" s="403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8" ht="15" customHeight="1">
      <c r="A3" s="35"/>
      <c r="B3" s="408" t="s">
        <v>332</v>
      </c>
      <c r="C3" s="409"/>
      <c r="D3" s="409"/>
      <c r="E3" s="409"/>
      <c r="F3" s="409"/>
      <c r="G3" s="409"/>
      <c r="H3" s="35"/>
      <c r="I3" s="35"/>
      <c r="J3" s="35"/>
      <c r="K3" s="35"/>
      <c r="L3" s="35"/>
      <c r="M3" s="35"/>
    </row>
    <row r="4" spans="1:18" ht="15" customHeight="1">
      <c r="A4" s="35"/>
      <c r="B4" s="405"/>
      <c r="C4" s="406"/>
      <c r="D4" s="406"/>
      <c r="E4" s="406"/>
      <c r="F4" s="406"/>
      <c r="G4" s="406"/>
      <c r="H4" s="277"/>
      <c r="I4" s="37"/>
      <c r="J4" s="37"/>
      <c r="K4" s="37"/>
      <c r="L4" s="37"/>
      <c r="M4" s="35"/>
      <c r="O4" s="34" t="s">
        <v>194</v>
      </c>
      <c r="Q4" s="34" t="s">
        <v>196</v>
      </c>
      <c r="R4" s="557" t="s">
        <v>338</v>
      </c>
    </row>
    <row r="5" spans="1:18" ht="15" customHeight="1">
      <c r="A5" s="35"/>
      <c r="B5" s="407" t="s">
        <v>194</v>
      </c>
      <c r="C5" s="407"/>
      <c r="D5" s="407"/>
      <c r="E5" s="407"/>
      <c r="F5" s="407"/>
      <c r="G5" s="407"/>
      <c r="H5" s="277"/>
      <c r="I5" s="37"/>
      <c r="J5" s="37"/>
      <c r="K5" s="37"/>
      <c r="L5" s="37"/>
      <c r="M5" s="35"/>
      <c r="O5" s="34" t="s">
        <v>195</v>
      </c>
      <c r="Q5" s="34" t="s">
        <v>197</v>
      </c>
      <c r="R5" s="338" t="s">
        <v>339</v>
      </c>
    </row>
    <row r="6" spans="1:18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211</v>
      </c>
      <c r="P6" s="113"/>
      <c r="Q6" s="113" t="s">
        <v>198</v>
      </c>
    </row>
    <row r="7" spans="1:18" ht="15" customHeight="1">
      <c r="A7" s="35"/>
      <c r="B7" s="114" t="s">
        <v>87</v>
      </c>
      <c r="C7" s="114"/>
      <c r="D7" s="114"/>
      <c r="E7" s="115" t="s">
        <v>333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7" t="s">
        <v>212</v>
      </c>
    </row>
    <row r="8" spans="1:18" ht="15" customHeight="1">
      <c r="A8" s="35"/>
      <c r="B8" s="114" t="s">
        <v>88</v>
      </c>
      <c r="C8" s="114"/>
      <c r="D8" s="114"/>
      <c r="E8" s="116" t="s">
        <v>89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8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8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8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19789920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8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8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8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8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8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91</v>
      </c>
      <c r="C20" s="404" t="s">
        <v>111</v>
      </c>
      <c r="D20" s="404"/>
      <c r="E20" s="404"/>
      <c r="F20" s="49"/>
      <c r="G20" s="41">
        <f>G21+G22+G23</f>
        <v>9837000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01" t="s">
        <v>7</v>
      </c>
      <c r="E21" s="401"/>
      <c r="F21" s="51"/>
      <c r="G21" s="44">
        <f>様式2_1人件費!E11</f>
        <v>4552000</v>
      </c>
      <c r="H21" s="44" t="s">
        <v>1</v>
      </c>
    </row>
    <row r="22" spans="1:17" ht="21" customHeight="1">
      <c r="A22" s="35"/>
      <c r="B22" s="35"/>
      <c r="C22" s="42" t="s">
        <v>4</v>
      </c>
      <c r="D22" s="401" t="s">
        <v>106</v>
      </c>
      <c r="E22" s="401"/>
      <c r="F22" s="51"/>
      <c r="G22" s="46">
        <f>様式2_2その他原価・一般管理費!I4</f>
        <v>3640000</v>
      </c>
      <c r="H22" s="46" t="s">
        <v>1</v>
      </c>
    </row>
    <row r="23" spans="1:17" ht="21" customHeight="1">
      <c r="A23" s="35"/>
      <c r="B23" s="47"/>
      <c r="C23" s="42" t="s">
        <v>8</v>
      </c>
      <c r="D23" s="400" t="s">
        <v>9</v>
      </c>
      <c r="E23" s="400"/>
      <c r="F23" s="48"/>
      <c r="G23" s="46">
        <f>様式2_2その他原価・一般管理費!I26</f>
        <v>1645000</v>
      </c>
      <c r="H23" s="46" t="s">
        <v>1</v>
      </c>
    </row>
    <row r="24" spans="1:17" ht="30" customHeight="1" thickBot="1">
      <c r="A24" s="35"/>
      <c r="B24" s="39" t="s">
        <v>95</v>
      </c>
      <c r="C24" s="40" t="s">
        <v>3</v>
      </c>
      <c r="D24" s="40"/>
      <c r="E24" s="40"/>
      <c r="F24" s="40"/>
      <c r="G24" s="41">
        <f>G25+G27+G28+G29+G30</f>
        <v>7750000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107</v>
      </c>
      <c r="E25" s="43"/>
      <c r="F25" s="43"/>
      <c r="G25" s="44">
        <f>様式2_3機材!E5</f>
        <v>2450000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92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116</v>
      </c>
      <c r="F27" s="45"/>
      <c r="G27" s="46">
        <f>様式2_4旅費!F4</f>
        <v>1533000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330</v>
      </c>
      <c r="F28" s="45"/>
      <c r="G28" s="46">
        <f>様式2_4旅費!F6</f>
        <v>2060000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112</v>
      </c>
      <c r="E29" s="45"/>
      <c r="F29" s="45"/>
      <c r="G29" s="46">
        <f>様式2_5現地活動費!E3</f>
        <v>770000</v>
      </c>
      <c r="H29" s="46" t="s">
        <v>1</v>
      </c>
    </row>
    <row r="30" spans="1:17" ht="21" customHeight="1">
      <c r="A30" s="35"/>
      <c r="B30" s="45"/>
      <c r="C30" s="110" t="s">
        <v>93</v>
      </c>
      <c r="D30" s="34" t="s">
        <v>311</v>
      </c>
      <c r="F30" s="45"/>
      <c r="G30" s="46">
        <f>様式2_6本邦受入活動費!E4</f>
        <v>937000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96</v>
      </c>
      <c r="C32" s="404" t="s">
        <v>6</v>
      </c>
      <c r="D32" s="404"/>
      <c r="E32" s="404"/>
      <c r="F32" s="48"/>
      <c r="G32" s="41">
        <f>様式2_6本邦受入活動費!G34</f>
        <v>737000</v>
      </c>
      <c r="H32" s="87" t="s">
        <v>1</v>
      </c>
    </row>
    <row r="33" spans="1:8" ht="30" customHeight="1" thickTop="1" thickBot="1">
      <c r="A33" s="35"/>
      <c r="B33" s="39" t="s">
        <v>0</v>
      </c>
      <c r="C33" s="402" t="s">
        <v>10</v>
      </c>
      <c r="D33" s="402"/>
      <c r="E33" s="402"/>
      <c r="F33" s="30"/>
      <c r="G33" s="50">
        <f>G20+G24+G32</f>
        <v>18324000</v>
      </c>
      <c r="H33" s="50" t="s">
        <v>1</v>
      </c>
    </row>
    <row r="34" spans="1:8" ht="30" customHeight="1" thickTop="1" thickBot="1">
      <c r="A34" s="35"/>
      <c r="B34" s="39" t="s">
        <v>59</v>
      </c>
      <c r="C34" s="402" t="s">
        <v>94</v>
      </c>
      <c r="D34" s="402"/>
      <c r="E34" s="402"/>
      <c r="F34" s="27"/>
      <c r="G34" s="50">
        <f>G33*0.08</f>
        <v>1465920</v>
      </c>
      <c r="H34" s="50" t="s">
        <v>1</v>
      </c>
    </row>
    <row r="35" spans="1:8" ht="24" customHeight="1" thickTop="1" thickBot="1">
      <c r="A35" s="35"/>
      <c r="B35" s="39" t="s">
        <v>82</v>
      </c>
      <c r="C35" s="402" t="s">
        <v>11</v>
      </c>
      <c r="D35" s="402"/>
      <c r="E35" s="402"/>
      <c r="F35" s="402"/>
      <c r="G35" s="50">
        <f>G33+G34</f>
        <v>19789920</v>
      </c>
      <c r="H35" s="50" t="s">
        <v>1</v>
      </c>
    </row>
    <row r="36" spans="1:8" ht="51" customHeight="1" thickTop="1">
      <c r="A36" s="35"/>
      <c r="B36" s="398" t="s">
        <v>120</v>
      </c>
      <c r="C36" s="398"/>
      <c r="D36" s="398"/>
      <c r="E36" s="399"/>
      <c r="F36" s="399"/>
      <c r="G36" s="399"/>
      <c r="H36" s="399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65"/>
  <sheetViews>
    <sheetView showGridLines="0" tabSelected="1" view="pageBreakPreview" zoomScale="90" zoomScaleNormal="75" zoomScaleSheetLayoutView="90" workbookViewId="0">
      <selection activeCell="J1" sqref="J1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9.5" style="119" customWidth="1"/>
    <col min="11" max="16384" width="9" style="119"/>
  </cols>
  <sheetData>
    <row r="1" spans="1:17">
      <c r="J1" s="338" t="str">
        <f>IF(様式1!$B$5="見積金額内訳書",様式1!$R$5,"")</f>
        <v>様式２</v>
      </c>
    </row>
    <row r="2" spans="1:17" ht="24.75" customHeight="1">
      <c r="B2" s="418" t="str">
        <f>IF(様式1!B5="見積金額内訳書",様式2_1人件費!Q2,IF(様式1!B5="最終見積金額内訳書",様式2_1人件費!Q4,様式2_1人件費!Q3))</f>
        <v>見積金額内訳明細</v>
      </c>
      <c r="C2" s="418"/>
      <c r="D2" s="418"/>
      <c r="E2" s="418"/>
      <c r="F2" s="418"/>
      <c r="G2" s="418"/>
      <c r="H2" s="418"/>
      <c r="I2" s="418"/>
      <c r="J2" s="418"/>
      <c r="Q2" s="119" t="s">
        <v>168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209</v>
      </c>
    </row>
    <row r="4" spans="1:17">
      <c r="B4" s="416" t="s">
        <v>114</v>
      </c>
      <c r="C4" s="416"/>
      <c r="D4" s="417"/>
      <c r="E4" s="417"/>
      <c r="Q4" s="119" t="s">
        <v>210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2">
        <f>E11+様式2_2その他原価・一般管理費!I4+様式2_2その他原価・一般管理費!I26</f>
        <v>9837000</v>
      </c>
      <c r="F7" s="413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4"/>
      <c r="F9" s="415"/>
    </row>
    <row r="10" spans="1:17">
      <c r="B10" s="121"/>
      <c r="C10" s="121"/>
      <c r="D10" s="121"/>
    </row>
    <row r="11" spans="1:17" ht="15" thickBot="1">
      <c r="B11" s="119" t="s">
        <v>37</v>
      </c>
      <c r="E11" s="410">
        <f>G65</f>
        <v>4552000</v>
      </c>
      <c r="F11" s="411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138</v>
      </c>
      <c r="B15" s="126" t="s">
        <v>136</v>
      </c>
      <c r="C15" s="125" t="s">
        <v>137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>
        <v>3</v>
      </c>
      <c r="B16" s="298" t="str">
        <f>IF($A16="","",VLOOKUP($A16,従事者明細!$A$3:$L$51,2))</f>
        <v>阿部　一朗（日本）</v>
      </c>
      <c r="C16" s="298" t="str">
        <f>IF($A16="","",VLOOKUP($A16,従事者明細!$A$3:$L$51,3))</f>
        <v>開発課題2/市場調査</v>
      </c>
      <c r="D16" s="316">
        <f>IF($A16="","",VLOOKUP($A16,従事者明細!$A$3:$L$51,6))</f>
        <v>4</v>
      </c>
      <c r="E16" s="298">
        <f>IF($A16="","",VLOOKUP($A16,従事者明細!$A$3:$L$51,10))</f>
        <v>702000</v>
      </c>
      <c r="F16" s="196">
        <f>ROUND(J16/30,2)</f>
        <v>0.83</v>
      </c>
      <c r="G16" s="192">
        <f>IF(D16="","",E16*ROUND(F16,2))</f>
        <v>582660</v>
      </c>
      <c r="H16" s="200" t="str">
        <f>IF($A16="","",VLOOKUP($A16,従事者明細!$A$3:$F$51,5))</f>
        <v>A</v>
      </c>
      <c r="J16" s="128">
        <v>25</v>
      </c>
      <c r="L16" s="148"/>
      <c r="M16" s="386"/>
      <c r="N16" s="386"/>
      <c r="O16" s="387"/>
      <c r="P16" s="148"/>
    </row>
    <row r="17" spans="1:16" ht="30" customHeight="1">
      <c r="A17" s="239">
        <v>4</v>
      </c>
      <c r="B17" s="298" t="str">
        <f>IF($A17="","",VLOOKUP($A17,従事者明細!$A$3:$L$51,2))</f>
        <v>半沢　直樹（日本）</v>
      </c>
      <c r="C17" s="298" t="str">
        <f>IF($A17="","",VLOOKUP($A17,従事者明細!$A$3:$L$51,3))</f>
        <v>パートナー連携</v>
      </c>
      <c r="D17" s="316">
        <f>IF($A17="","",VLOOKUP($A17,従事者明細!$A$3:$L$51,6))</f>
        <v>4</v>
      </c>
      <c r="E17" s="298">
        <f>IF($A17="","",VLOOKUP($A17,従事者明細!$A$3:$L$51,10))</f>
        <v>702000</v>
      </c>
      <c r="F17" s="196">
        <f t="shared" ref="F17:F30" si="0">ROUND(J17/30,2)</f>
        <v>1</v>
      </c>
      <c r="G17" s="192">
        <f t="shared" ref="G17:G30" si="1">IF(D17="","",E17*ROUND(F17,2))</f>
        <v>702000</v>
      </c>
      <c r="H17" s="200" t="str">
        <f>IF($A17="","",VLOOKUP($A17,従事者明細!$A$3:$F$51,5))</f>
        <v>A</v>
      </c>
      <c r="J17" s="128">
        <v>30</v>
      </c>
      <c r="L17" s="148"/>
      <c r="M17" s="386"/>
      <c r="N17" s="386"/>
      <c r="O17" s="387"/>
      <c r="P17" s="148"/>
    </row>
    <row r="18" spans="1:16" ht="30" customHeight="1">
      <c r="A18" s="239">
        <v>5</v>
      </c>
      <c r="B18" s="298" t="str">
        <f>IF($A18="","",VLOOKUP($A18,従事者明細!$A$3:$L$51,2))</f>
        <v>国際　太郎（ベトナム）</v>
      </c>
      <c r="C18" s="298" t="str">
        <f>IF($A18="","",VLOOKUP($A18,従事者明細!$A$3:$L$51,3))</f>
        <v>法制度調査</v>
      </c>
      <c r="D18" s="316">
        <f>IF($A18="","",VLOOKUP($A18,従事者明細!$A$3:$L$51,6))</f>
        <v>3</v>
      </c>
      <c r="E18" s="298">
        <f>IF($A18="","",VLOOKUP($A18,従事者明細!$A$3:$L$51,10))</f>
        <v>856000</v>
      </c>
      <c r="F18" s="196">
        <f t="shared" si="0"/>
        <v>0.33</v>
      </c>
      <c r="G18" s="192">
        <f t="shared" si="1"/>
        <v>282480</v>
      </c>
      <c r="H18" s="200" t="str">
        <f>IF($A18="","",VLOOKUP($A18,従事者明細!$A$3:$F$51,5))</f>
        <v>C</v>
      </c>
      <c r="J18" s="128">
        <v>10</v>
      </c>
      <c r="L18" s="148"/>
      <c r="M18" s="386"/>
      <c r="N18" s="386"/>
      <c r="O18" s="387"/>
      <c r="P18" s="148"/>
    </row>
    <row r="19" spans="1:16" ht="30" customHeight="1">
      <c r="A19" s="239">
        <v>6</v>
      </c>
      <c r="B19" s="298" t="str">
        <f>IF($A19="","",VLOOKUP($A19,従事者明細!$A$3:$L$51,2))</f>
        <v>鈴木　花子（日本）</v>
      </c>
      <c r="C19" s="298" t="str">
        <f>IF($A19="","",VLOOKUP($A19,従事者明細!$A$3:$L$51,3))</f>
        <v>環境社会配慮調査</v>
      </c>
      <c r="D19" s="316">
        <f>IF($A19="","",VLOOKUP($A19,従事者明細!$A$3:$L$51,6))</f>
        <v>5</v>
      </c>
      <c r="E19" s="298">
        <f>IF($A19="","",VLOOKUP($A19,従事者明細!$A$3:$L$51,10))</f>
        <v>568000</v>
      </c>
      <c r="F19" s="196">
        <f t="shared" si="0"/>
        <v>1.1000000000000001</v>
      </c>
      <c r="G19" s="192">
        <f t="shared" si="1"/>
        <v>624800</v>
      </c>
      <c r="H19" s="200" t="str">
        <f>IF($A19="","",VLOOKUP($A19,従事者明細!$A$3:$F$51,5))</f>
        <v>B</v>
      </c>
      <c r="J19" s="128">
        <v>33</v>
      </c>
      <c r="L19" s="148"/>
      <c r="M19" s="148"/>
      <c r="N19" s="386"/>
      <c r="O19" s="388"/>
      <c r="P19" s="148"/>
    </row>
    <row r="20" spans="1:16" ht="30" customHeight="1">
      <c r="A20" s="239"/>
      <c r="B20" s="298" t="str">
        <f>IF($A20="","",VLOOKUP($A20,従事者明細!$A$3:$L$51,2))</f>
        <v/>
      </c>
      <c r="C20" s="298" t="str">
        <f>IF($A20="","",VLOOKUP($A20,従事者明細!$A$3:$L$51,3))</f>
        <v/>
      </c>
      <c r="D20" s="316" t="str">
        <f>IF($A20="","",VLOOKUP($A20,従事者明細!$A$3:$L$51,6))</f>
        <v/>
      </c>
      <c r="E20" s="298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6"/>
      <c r="O20" s="388"/>
      <c r="P20" s="148"/>
    </row>
    <row r="21" spans="1:16" ht="30" customHeight="1">
      <c r="A21" s="239"/>
      <c r="B21" s="298" t="str">
        <f>IF($A21="","",VLOOKUP($A21,従事者明細!$A$3:$L$51,2))</f>
        <v/>
      </c>
      <c r="C21" s="298" t="str">
        <f>IF($A21="","",VLOOKUP($A21,従事者明細!$A$3:$L$51,3))</f>
        <v/>
      </c>
      <c r="D21" s="316" t="str">
        <f>IF($A21="","",VLOOKUP($A21,従事者明細!$A$3:$L$51,6))</f>
        <v/>
      </c>
      <c r="E21" s="298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298" t="str">
        <f>IF($A22="","",VLOOKUP($A22,従事者明細!$A$3:$L$51,2))</f>
        <v/>
      </c>
      <c r="C22" s="298" t="str">
        <f>IF($A22="","",VLOOKUP($A22,従事者明細!$A$3:$L$51,3))</f>
        <v/>
      </c>
      <c r="D22" s="316" t="str">
        <f>IF($A22="","",VLOOKUP($A22,従事者明細!$A$3:$L$51,6))</f>
        <v/>
      </c>
      <c r="E22" s="298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298" t="str">
        <f>IF($A23="","",VLOOKUP($A23,従事者明細!$A$3:$L$51,2))</f>
        <v/>
      </c>
      <c r="C23" s="298" t="str">
        <f>IF($A23="","",VLOOKUP($A23,従事者明細!$A$3:$L$51,3))</f>
        <v/>
      </c>
      <c r="D23" s="316" t="str">
        <f>IF($A23="","",VLOOKUP($A23,従事者明細!$A$3:$L$51,6))</f>
        <v/>
      </c>
      <c r="E23" s="298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298" t="str">
        <f>IF($A24="","",VLOOKUP($A24,従事者明細!$A$3:$L$51,2))</f>
        <v/>
      </c>
      <c r="C24" s="298" t="str">
        <f>IF($A24="","",VLOOKUP($A24,従事者明細!$A$3:$L$51,3))</f>
        <v/>
      </c>
      <c r="D24" s="316" t="str">
        <f>IF($A24="","",VLOOKUP($A24,従事者明細!$A$3:$L$51,6))</f>
        <v/>
      </c>
      <c r="E24" s="298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298" t="str">
        <f>IF($A25="","",VLOOKUP($A25,従事者明細!$A$3:$L$51,2))</f>
        <v/>
      </c>
      <c r="C25" s="298" t="str">
        <f>IF($A25="","",VLOOKUP($A25,従事者明細!$A$3:$L$51,3))</f>
        <v/>
      </c>
      <c r="D25" s="316" t="str">
        <f>IF($A25="","",VLOOKUP($A25,従事者明細!$A$3:$L$51,6))</f>
        <v/>
      </c>
      <c r="E25" s="298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298" t="str">
        <f>IF($A26="","",VLOOKUP($A26,従事者明細!$A$3:$L$51,2))</f>
        <v/>
      </c>
      <c r="C26" s="298" t="str">
        <f>IF($A26="","",VLOOKUP($A26,従事者明細!$A$3:$L$51,3))</f>
        <v/>
      </c>
      <c r="D26" s="316" t="str">
        <f>IF($A26="","",VLOOKUP($A26,従事者明細!$A$3:$L$51,6))</f>
        <v/>
      </c>
      <c r="E26" s="298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298" t="str">
        <f>IF($A27="","",VLOOKUP($A27,従事者明細!$A$3:$L$51,2))</f>
        <v/>
      </c>
      <c r="C27" s="298" t="str">
        <f>IF($A27="","",VLOOKUP($A27,従事者明細!$A$3:$L$51,3))</f>
        <v/>
      </c>
      <c r="D27" s="316" t="str">
        <f>IF($A27="","",VLOOKUP($A27,従事者明細!$A$3:$L$51,6))</f>
        <v/>
      </c>
      <c r="E27" s="298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298" t="str">
        <f>IF($A28="","",VLOOKUP($A28,従事者明細!$A$3:$L$51,2))</f>
        <v/>
      </c>
      <c r="C28" s="298" t="str">
        <f>IF($A28="","",VLOOKUP($A28,従事者明細!$A$3:$L$51,3))</f>
        <v/>
      </c>
      <c r="D28" s="316" t="str">
        <f>IF($A28="","",VLOOKUP($A28,従事者明細!$A$3:$L$51,6))</f>
        <v/>
      </c>
      <c r="E28" s="298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298" t="str">
        <f>IF($A29="","",VLOOKUP($A29,従事者明細!$A$3:$L$51,2))</f>
        <v/>
      </c>
      <c r="C29" s="298" t="str">
        <f>IF($A29="","",VLOOKUP($A29,従事者明細!$A$3:$L$51,3))</f>
        <v/>
      </c>
      <c r="D29" s="316" t="str">
        <f>IF($A29="","",VLOOKUP($A29,従事者明細!$A$3:$L$51,6))</f>
        <v/>
      </c>
      <c r="E29" s="298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298" t="str">
        <f>IF($A30="","",VLOOKUP($A30,従事者明細!$A$3:$L$51,2))</f>
        <v/>
      </c>
      <c r="C30" s="298" t="str">
        <f>IF($A30="","",VLOOKUP($A30,従事者明細!$A$3:$L$51,3))</f>
        <v/>
      </c>
      <c r="D30" s="316" t="str">
        <f>IF($A30="","",VLOOKUP($A30,従事者明細!$A$3:$L$51,6))</f>
        <v/>
      </c>
      <c r="E30" s="298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3.2600000000000002</v>
      </c>
      <c r="G31" s="131">
        <f>SUM(G16:G30)</f>
        <v>2191940</v>
      </c>
      <c r="J31" s="119">
        <f>SUM(J16:J30)</f>
        <v>98</v>
      </c>
    </row>
    <row r="32" spans="1:16">
      <c r="B32" s="133"/>
      <c r="C32" s="133"/>
    </row>
    <row r="33" spans="1:10">
      <c r="B33" s="133"/>
      <c r="C33" s="133"/>
      <c r="F33" s="191" t="s">
        <v>139</v>
      </c>
      <c r="G33" s="192">
        <f>SUMIF(H16:H30,"A",G16:G30)</f>
        <v>1284660</v>
      </c>
      <c r="H33" s="294"/>
    </row>
    <row r="34" spans="1:10" ht="14.25" customHeight="1">
      <c r="B34" s="133"/>
      <c r="C34" s="133"/>
      <c r="F34" s="191" t="s">
        <v>140</v>
      </c>
      <c r="G34" s="192">
        <f>SUMIF(H16:H30,"B",G16:G30)</f>
        <v>624800</v>
      </c>
      <c r="H34" s="294"/>
    </row>
    <row r="35" spans="1:10">
      <c r="B35" s="133"/>
      <c r="C35" s="133"/>
      <c r="F35" s="191" t="s">
        <v>141</v>
      </c>
      <c r="G35" s="192">
        <f>SUMIF(H16:H30,"C",G16:G30)</f>
        <v>282480</v>
      </c>
      <c r="H35" s="294"/>
    </row>
    <row r="36" spans="1:10">
      <c r="B36" s="133"/>
      <c r="C36" s="133"/>
      <c r="F36" s="193"/>
      <c r="G36" s="192">
        <f>SUM(G33:G35)</f>
        <v>2191940</v>
      </c>
      <c r="H36" s="295"/>
    </row>
    <row r="37" spans="1:10">
      <c r="B37" s="119" t="s">
        <v>58</v>
      </c>
    </row>
    <row r="38" spans="1:10" ht="30" customHeight="1">
      <c r="A38" s="190" t="s">
        <v>138</v>
      </c>
      <c r="B38" s="126" t="s">
        <v>136</v>
      </c>
      <c r="C38" s="125" t="s">
        <v>137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>
        <v>3</v>
      </c>
      <c r="B39" s="298" t="str">
        <f>IF($A39="","",VLOOKUP($A39,従事者明細!$A$3:$L$51,2))</f>
        <v>阿部　一朗（日本）</v>
      </c>
      <c r="C39" s="298" t="str">
        <f>IF($A39="","",VLOOKUP($A39,従事者明細!$A$3:$L$51,3))</f>
        <v>開発課題2/市場調査</v>
      </c>
      <c r="D39" s="298">
        <f>IF($A39="","",VLOOKUP($A39,従事者明細!$A$3:$L$51,6))</f>
        <v>4</v>
      </c>
      <c r="E39" s="298">
        <f>IF($A39="","",VLOOKUP($A39,従事者明細!$A$3:$L$51,10))</f>
        <v>702000</v>
      </c>
      <c r="F39" s="196">
        <f>ROUND(J39/20,2)</f>
        <v>0.3</v>
      </c>
      <c r="G39" s="192">
        <f>IF(D39="","",E39*ROUND(F39,2))</f>
        <v>210600</v>
      </c>
      <c r="H39" s="200" t="str">
        <f>IF($A39="","",VLOOKUP($A39,従事者明細!$A$3:$F$51,5))</f>
        <v>A</v>
      </c>
      <c r="J39" s="134">
        <v>6</v>
      </c>
    </row>
    <row r="40" spans="1:10" ht="30" customHeight="1">
      <c r="A40" s="239">
        <v>4</v>
      </c>
      <c r="B40" s="298" t="str">
        <f>IF($A40="","",VLOOKUP($A40,従事者明細!$A$3:$L$51,2))</f>
        <v>半沢　直樹（日本）</v>
      </c>
      <c r="C40" s="298" t="str">
        <f>IF($A40="","",VLOOKUP($A40,従事者明細!$A$3:$L$51,3))</f>
        <v>パートナー連携</v>
      </c>
      <c r="D40" s="298">
        <f>IF($A40="","",VLOOKUP($A40,従事者明細!$A$3:$L$51,6))</f>
        <v>4</v>
      </c>
      <c r="E40" s="298">
        <f>IF($A40="","",VLOOKUP($A40,従事者明細!$A$3:$L$51,10))</f>
        <v>702000</v>
      </c>
      <c r="F40" s="196">
        <f t="shared" ref="F40:F53" si="2">ROUND(J40/20,2)</f>
        <v>0.3</v>
      </c>
      <c r="G40" s="192">
        <f t="shared" ref="G40:G53" si="3">IF(D40="","",E40*ROUND(F40,2))</f>
        <v>210600</v>
      </c>
      <c r="H40" s="200" t="str">
        <f>IF($A40="","",VLOOKUP($A40,従事者明細!$A$3:$F$51,5))</f>
        <v>A</v>
      </c>
      <c r="J40" s="134">
        <v>6</v>
      </c>
    </row>
    <row r="41" spans="1:10" ht="30" customHeight="1">
      <c r="A41" s="239">
        <v>5</v>
      </c>
      <c r="B41" s="298" t="str">
        <f>IF($A41="","",VLOOKUP($A41,従事者明細!$A$3:$L$51,2))</f>
        <v>国際　太郎（ベトナム）</v>
      </c>
      <c r="C41" s="298" t="str">
        <f>IF($A41="","",VLOOKUP($A41,従事者明細!$A$3:$L$51,3))</f>
        <v>法制度調査</v>
      </c>
      <c r="D41" s="298">
        <f>IF($A41="","",VLOOKUP($A41,従事者明細!$A$3:$L$51,6))</f>
        <v>3</v>
      </c>
      <c r="E41" s="298">
        <f>IF($A41="","",VLOOKUP($A41,従事者明細!$A$3:$L$51,10))</f>
        <v>856000</v>
      </c>
      <c r="F41" s="196">
        <f t="shared" si="2"/>
        <v>2</v>
      </c>
      <c r="G41" s="192">
        <f t="shared" si="3"/>
        <v>1712000</v>
      </c>
      <c r="H41" s="200" t="str">
        <f>IF($A41="","",VLOOKUP($A41,従事者明細!$A$3:$F$51,5))</f>
        <v>C</v>
      </c>
      <c r="J41" s="134">
        <v>40</v>
      </c>
    </row>
    <row r="42" spans="1:10" ht="30" customHeight="1">
      <c r="A42" s="239">
        <v>6</v>
      </c>
      <c r="B42" s="298" t="str">
        <f>IF($A42="","",VLOOKUP($A42,従事者明細!$A$3:$L$51,2))</f>
        <v>鈴木　花子（日本）</v>
      </c>
      <c r="C42" s="298" t="str">
        <f>IF($A42="","",VLOOKUP($A42,従事者明細!$A$3:$L$51,3))</f>
        <v>環境社会配慮調査</v>
      </c>
      <c r="D42" s="298">
        <f>IF($A42="","",VLOOKUP($A42,従事者明細!$A$3:$L$51,6))</f>
        <v>5</v>
      </c>
      <c r="E42" s="298">
        <f>IF($A42="","",VLOOKUP($A42,従事者明細!$A$3:$L$51,10))</f>
        <v>568000</v>
      </c>
      <c r="F42" s="196">
        <f t="shared" si="2"/>
        <v>0.4</v>
      </c>
      <c r="G42" s="192">
        <f t="shared" si="3"/>
        <v>227200</v>
      </c>
      <c r="H42" s="200" t="str">
        <f>IF($A42="","",VLOOKUP($A42,従事者明細!$A$3:$F$51,5))</f>
        <v>B</v>
      </c>
      <c r="J42" s="134">
        <v>8</v>
      </c>
    </row>
    <row r="43" spans="1:10" ht="30" customHeight="1">
      <c r="A43" s="239"/>
      <c r="B43" s="298" t="str">
        <f>IF($A43="","",VLOOKUP($A43,従事者明細!$A$3:$L$51,2))</f>
        <v/>
      </c>
      <c r="C43" s="298" t="str">
        <f>IF($A43="","",VLOOKUP($A43,従事者明細!$A$3:$L$51,3))</f>
        <v/>
      </c>
      <c r="D43" s="298" t="str">
        <f>IF($A43="","",VLOOKUP($A43,従事者明細!$A$3:$L$51,6))</f>
        <v/>
      </c>
      <c r="E43" s="298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298" t="str">
        <f>IF($A44="","",VLOOKUP($A44,従事者明細!$A$3:$L$51,2))</f>
        <v/>
      </c>
      <c r="C44" s="298" t="str">
        <f>IF($A44="","",VLOOKUP($A44,従事者明細!$A$3:$L$51,3))</f>
        <v/>
      </c>
      <c r="D44" s="298" t="str">
        <f>IF($A44="","",VLOOKUP($A44,従事者明細!$A$3:$L$51,6))</f>
        <v/>
      </c>
      <c r="E44" s="298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298" t="str">
        <f>IF($A45="","",VLOOKUP($A45,従事者明細!$A$3:$L$51,2))</f>
        <v/>
      </c>
      <c r="C45" s="298" t="str">
        <f>IF($A45="","",VLOOKUP($A45,従事者明細!$A$3:$L$51,3))</f>
        <v/>
      </c>
      <c r="D45" s="298" t="str">
        <f>IF($A45="","",VLOOKUP($A45,従事者明細!$A$3:$L$51,6))</f>
        <v/>
      </c>
      <c r="E45" s="298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298" t="str">
        <f>IF($A46="","",VLOOKUP($A46,従事者明細!$A$3:$L$51,2))</f>
        <v/>
      </c>
      <c r="C46" s="298" t="str">
        <f>IF($A46="","",VLOOKUP($A46,従事者明細!$A$3:$L$51,3))</f>
        <v/>
      </c>
      <c r="D46" s="298" t="str">
        <f>IF($A46="","",VLOOKUP($A46,従事者明細!$A$3:$L$51,6))</f>
        <v/>
      </c>
      <c r="E46" s="298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298" t="str">
        <f>IF($A47="","",VLOOKUP($A47,従事者明細!$A$3:$L$51,2))</f>
        <v/>
      </c>
      <c r="C47" s="298" t="str">
        <f>IF($A47="","",VLOOKUP($A47,従事者明細!$A$3:$L$51,3))</f>
        <v/>
      </c>
      <c r="D47" s="298" t="str">
        <f>IF($A47="","",VLOOKUP($A47,従事者明細!$A$3:$L$51,6))</f>
        <v/>
      </c>
      <c r="E47" s="298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298" t="str">
        <f>IF($A48="","",VLOOKUP($A48,従事者明細!$A$3:$L$51,2))</f>
        <v/>
      </c>
      <c r="C48" s="298" t="str">
        <f>IF($A48="","",VLOOKUP($A48,従事者明細!$A$3:$L$51,3))</f>
        <v/>
      </c>
      <c r="D48" s="298" t="str">
        <f>IF($A48="","",VLOOKUP($A48,従事者明細!$A$3:$L$51,6))</f>
        <v/>
      </c>
      <c r="E48" s="298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298" t="str">
        <f>IF($A49="","",VLOOKUP($A49,従事者明細!$A$3:$L$51,2))</f>
        <v/>
      </c>
      <c r="C49" s="298" t="str">
        <f>IF($A49="","",VLOOKUP($A49,従事者明細!$A$3:$L$51,3))</f>
        <v/>
      </c>
      <c r="D49" s="298" t="str">
        <f>IF($A49="","",VLOOKUP($A49,従事者明細!$A$3:$L$51,6))</f>
        <v/>
      </c>
      <c r="E49" s="298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298" t="str">
        <f>IF($A50="","",VLOOKUP($A50,従事者明細!$A$3:$L$51,2))</f>
        <v/>
      </c>
      <c r="C50" s="298" t="str">
        <f>IF($A50="","",VLOOKUP($A50,従事者明細!$A$3:$L$51,3))</f>
        <v/>
      </c>
      <c r="D50" s="298" t="str">
        <f>IF($A50="","",VLOOKUP($A50,従事者明細!$A$3:$L$51,6))</f>
        <v/>
      </c>
      <c r="E50" s="298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298" t="str">
        <f>IF($A51="","",VLOOKUP($A51,従事者明細!$A$3:$L$51,2))</f>
        <v/>
      </c>
      <c r="C51" s="298" t="str">
        <f>IF($A51="","",VLOOKUP($A51,従事者明細!$A$3:$L$51,3))</f>
        <v/>
      </c>
      <c r="D51" s="298" t="str">
        <f>IF($A51="","",VLOOKUP($A51,従事者明細!$A$3:$L$51,6))</f>
        <v/>
      </c>
      <c r="E51" s="298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298" t="str">
        <f>IF($A52="","",VLOOKUP($A52,従事者明細!$A$3:$L$51,2))</f>
        <v/>
      </c>
      <c r="C52" s="298" t="str">
        <f>IF($A52="","",VLOOKUP($A52,従事者明細!$A$3:$L$51,3))</f>
        <v/>
      </c>
      <c r="D52" s="298" t="str">
        <f>IF($A52="","",VLOOKUP($A52,従事者明細!$A$3:$L$51,6))</f>
        <v/>
      </c>
      <c r="E52" s="298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298" t="str">
        <f>IF($A53="","",VLOOKUP($A53,従事者明細!$A$3:$L$51,2))</f>
        <v/>
      </c>
      <c r="C53" s="298" t="str">
        <f>IF($A53="","",VLOOKUP($A53,従事者明細!$A$3:$L$51,3))</f>
        <v/>
      </c>
      <c r="D53" s="298" t="str">
        <f>IF($A53="","",VLOOKUP($A53,従事者明細!$A$3:$L$51,6))</f>
        <v/>
      </c>
      <c r="E53" s="298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3</v>
      </c>
      <c r="G54" s="131">
        <f>SUM(G39:G53)</f>
        <v>2360400</v>
      </c>
      <c r="J54" s="119">
        <f>SUM(J39:J53)</f>
        <v>60</v>
      </c>
    </row>
    <row r="55" spans="1:10" ht="15.75" customHeight="1">
      <c r="B55" s="132"/>
      <c r="C55" s="132"/>
      <c r="F55" s="129"/>
      <c r="G55" s="291"/>
      <c r="H55" s="146"/>
      <c r="I55" s="292"/>
    </row>
    <row r="56" spans="1:10" ht="21.75" customHeight="1">
      <c r="B56" s="133"/>
      <c r="C56" s="133"/>
      <c r="H56" s="128" t="s">
        <v>226</v>
      </c>
    </row>
    <row r="57" spans="1:10">
      <c r="B57" s="133"/>
      <c r="C57" s="133"/>
      <c r="F57" s="191" t="s">
        <v>139</v>
      </c>
      <c r="G57" s="192">
        <f>SUMIF(H39:H53,"A",G39:G53)</f>
        <v>421200</v>
      </c>
      <c r="H57" s="290">
        <f>G33+G57</f>
        <v>1705860</v>
      </c>
      <c r="I57" s="191" t="s">
        <v>139</v>
      </c>
      <c r="J57" s="192">
        <f>IF($G$65=0,0,$G$65/$H$60*H57)</f>
        <v>1705732.5946656007</v>
      </c>
    </row>
    <row r="58" spans="1:10">
      <c r="B58" s="133"/>
      <c r="C58" s="133"/>
      <c r="F58" s="191" t="s">
        <v>140</v>
      </c>
      <c r="G58" s="192">
        <f>SUMIF(H39:H53,"B",G39:G53)</f>
        <v>227200</v>
      </c>
      <c r="H58" s="290">
        <f>G34+G58</f>
        <v>852000</v>
      </c>
      <c r="I58" s="191" t="s">
        <v>140</v>
      </c>
      <c r="J58" s="192">
        <f t="shared" ref="J58:J59" si="4">IF($G$65=0,0,$G$65/$H$60*H58)</f>
        <v>851936.36679158418</v>
      </c>
    </row>
    <row r="59" spans="1:10">
      <c r="B59" s="133"/>
      <c r="C59" s="133"/>
      <c r="F59" s="191" t="s">
        <v>141</v>
      </c>
      <c r="G59" s="192">
        <f>SUMIF(H39:H53,"C",G39:G53)</f>
        <v>1712000</v>
      </c>
      <c r="H59" s="290">
        <f>G35+G59</f>
        <v>1994480</v>
      </c>
      <c r="I59" s="191" t="s">
        <v>141</v>
      </c>
      <c r="J59" s="192">
        <f t="shared" si="4"/>
        <v>1994331.0385428155</v>
      </c>
    </row>
    <row r="60" spans="1:10">
      <c r="B60" s="133"/>
      <c r="C60" s="133"/>
      <c r="F60" s="194"/>
      <c r="G60" s="195">
        <f>SUM(G57:G59)</f>
        <v>2360400</v>
      </c>
      <c r="H60" s="192">
        <f>SUM(H57:H59)</f>
        <v>4552340</v>
      </c>
      <c r="I60" s="293" t="s">
        <v>227</v>
      </c>
      <c r="J60" s="195">
        <f>SUM(J57:J59)</f>
        <v>4552000</v>
      </c>
    </row>
    <row r="62" spans="1:10" ht="15" thickBot="1"/>
    <row r="63" spans="1:10" ht="29.25" thickBot="1">
      <c r="A63" s="305"/>
      <c r="B63" s="119" t="s">
        <v>303</v>
      </c>
      <c r="C63" s="305"/>
      <c r="D63" s="34"/>
      <c r="E63" s="34"/>
      <c r="F63" s="327" t="s">
        <v>304</v>
      </c>
      <c r="G63" s="328" t="s">
        <v>305</v>
      </c>
    </row>
    <row r="64" spans="1:10" ht="30" customHeight="1">
      <c r="A64" s="305"/>
      <c r="B64" s="305"/>
      <c r="C64" s="305"/>
      <c r="D64" s="329"/>
      <c r="E64" s="330" t="s">
        <v>307</v>
      </c>
      <c r="F64" s="331">
        <f>F31+F54</f>
        <v>6.26</v>
      </c>
      <c r="G64" s="332">
        <f>G31+G54</f>
        <v>4552340</v>
      </c>
    </row>
    <row r="65" spans="1:7" ht="30" customHeight="1" thickBot="1">
      <c r="A65" s="305"/>
      <c r="B65" s="305"/>
      <c r="C65" s="305"/>
      <c r="D65" s="333"/>
      <c r="E65" s="334" t="s">
        <v>306</v>
      </c>
      <c r="F65" s="335"/>
      <c r="G65" s="336">
        <f>ROUNDDOWN(G64,-3)</f>
        <v>4552000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M1" sqref="M1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>
      <c r="M1" s="338" t="str">
        <f>IF(様式1!$B$5="見積金額内訳書",様式1!$R$5,"")</f>
        <v>様式２</v>
      </c>
    </row>
    <row r="2" spans="2:22">
      <c r="B2" s="427" t="s">
        <v>114</v>
      </c>
      <c r="C2" s="427"/>
      <c r="D2" s="427"/>
      <c r="E2" s="427"/>
      <c r="F2" s="427"/>
      <c r="G2" s="427"/>
      <c r="H2" s="427"/>
      <c r="I2" s="427"/>
    </row>
    <row r="3" spans="2:22" s="276" customFormat="1">
      <c r="B3" s="275"/>
      <c r="C3" s="275"/>
      <c r="D3" s="275"/>
      <c r="E3" s="275"/>
      <c r="F3" s="275"/>
      <c r="G3" s="275"/>
      <c r="H3" s="275"/>
      <c r="I3" s="146"/>
      <c r="J3" s="146"/>
    </row>
    <row r="4" spans="2:22" ht="15" thickBot="1">
      <c r="B4" s="119" t="s">
        <v>117</v>
      </c>
      <c r="I4" s="421">
        <f>K23</f>
        <v>3640000</v>
      </c>
      <c r="J4" s="421"/>
      <c r="K4" s="421"/>
      <c r="L4" s="5" t="s">
        <v>1</v>
      </c>
    </row>
    <row r="5" spans="2:22" ht="15" thickTop="1"/>
    <row r="6" spans="2:22">
      <c r="B6" s="119" t="s">
        <v>45</v>
      </c>
    </row>
    <row r="7" spans="2:22">
      <c r="B7" s="422" t="s">
        <v>46</v>
      </c>
      <c r="C7" s="422"/>
      <c r="H7" s="119" t="s">
        <v>118</v>
      </c>
    </row>
    <row r="9" spans="2:22">
      <c r="B9" s="419">
        <f>様式2_1人件費!J57</f>
        <v>1705732.5946656007</v>
      </c>
      <c r="C9" s="419"/>
      <c r="D9" s="152" t="s">
        <v>1</v>
      </c>
      <c r="E9" s="148"/>
      <c r="F9" s="148" t="s">
        <v>47</v>
      </c>
      <c r="H9" s="153">
        <v>120</v>
      </c>
      <c r="I9" s="119" t="s">
        <v>48</v>
      </c>
      <c r="J9" s="141" t="s">
        <v>49</v>
      </c>
      <c r="K9" s="420">
        <f>ROUNDDOWN(B9*H9/100,0)</f>
        <v>2046879</v>
      </c>
      <c r="L9" s="420"/>
      <c r="M9" s="5" t="s">
        <v>1</v>
      </c>
    </row>
    <row r="11" spans="2:22">
      <c r="B11" s="119" t="s">
        <v>50</v>
      </c>
    </row>
    <row r="12" spans="2:22">
      <c r="B12" s="422" t="s">
        <v>46</v>
      </c>
      <c r="C12" s="422"/>
      <c r="D12" s="422"/>
      <c r="H12" s="119" t="s">
        <v>118</v>
      </c>
    </row>
    <row r="14" spans="2:22">
      <c r="B14" s="419">
        <f>様式2_1人件費!J58</f>
        <v>851936.36679158418</v>
      </c>
      <c r="C14" s="419"/>
      <c r="D14" s="152" t="s">
        <v>1</v>
      </c>
      <c r="E14" s="148"/>
      <c r="F14" s="148" t="s">
        <v>47</v>
      </c>
      <c r="H14" s="153">
        <v>70</v>
      </c>
      <c r="I14" s="119" t="s">
        <v>48</v>
      </c>
      <c r="J14" s="141" t="s">
        <v>49</v>
      </c>
      <c r="K14" s="420">
        <f>ROUNDDOWN(B14*H14/100,0)</f>
        <v>596355</v>
      </c>
      <c r="L14" s="420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2" t="s">
        <v>46</v>
      </c>
      <c r="C17" s="422"/>
      <c r="D17" s="422"/>
      <c r="H17" s="119" t="s">
        <v>118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19">
        <f>様式2_1人件費!J59</f>
        <v>1994331.0385428155</v>
      </c>
      <c r="C19" s="419"/>
      <c r="D19" s="152" t="s">
        <v>1</v>
      </c>
      <c r="E19" s="148"/>
      <c r="F19" s="148" t="s">
        <v>47</v>
      </c>
      <c r="H19" s="153">
        <v>50</v>
      </c>
      <c r="I19" s="119" t="s">
        <v>48</v>
      </c>
      <c r="J19" s="141" t="s">
        <v>49</v>
      </c>
      <c r="K19" s="420">
        <f>ROUNDDOWN(B19*H19/100,0)</f>
        <v>997165</v>
      </c>
      <c r="L19" s="420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24">
        <f>K9+K14+K19</f>
        <v>3640399</v>
      </c>
      <c r="L22" s="425"/>
      <c r="M22" s="5" t="s">
        <v>1</v>
      </c>
    </row>
    <row r="23" spans="2:22" ht="27.75" customHeight="1">
      <c r="H23" s="119" t="s">
        <v>169</v>
      </c>
      <c r="J23" s="141"/>
      <c r="K23" s="426">
        <f>ROUNDDOWN(K22,-3)</f>
        <v>3640000</v>
      </c>
      <c r="L23" s="426"/>
      <c r="M23" s="5" t="s">
        <v>1</v>
      </c>
    </row>
    <row r="26" spans="2:22" ht="15" thickBot="1">
      <c r="B26" s="119" t="s">
        <v>52</v>
      </c>
      <c r="I26" s="423">
        <f>K46</f>
        <v>1645000</v>
      </c>
      <c r="J26" s="423"/>
      <c r="K26" s="423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2" t="s">
        <v>119</v>
      </c>
      <c r="C30" s="422"/>
      <c r="D30" s="422"/>
      <c r="G30" s="422" t="s">
        <v>53</v>
      </c>
      <c r="H30" s="422"/>
      <c r="I30" s="422"/>
    </row>
    <row r="31" spans="2:22">
      <c r="L31"/>
    </row>
    <row r="32" spans="2:22">
      <c r="B32" s="430">
        <f>SUM(B9+ROUNDDOWN(K9,-3))</f>
        <v>3751732.5946656009</v>
      </c>
      <c r="C32" s="430"/>
      <c r="D32" s="161" t="s">
        <v>1</v>
      </c>
      <c r="E32" s="148"/>
      <c r="F32" s="148" t="s">
        <v>47</v>
      </c>
      <c r="H32" s="153">
        <v>40</v>
      </c>
      <c r="I32" s="119" t="s">
        <v>48</v>
      </c>
      <c r="J32" s="141" t="s">
        <v>49</v>
      </c>
      <c r="K32" s="420">
        <f>ROUNDDOWN(B32*H32/100,0)</f>
        <v>1500693</v>
      </c>
      <c r="L32" s="420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9" t="s">
        <v>119</v>
      </c>
      <c r="C35" s="429"/>
      <c r="D35" s="429"/>
      <c r="G35" s="422" t="s">
        <v>53</v>
      </c>
      <c r="H35" s="422"/>
      <c r="I35" s="422"/>
    </row>
    <row r="36" spans="2:13">
      <c r="B36" s="146"/>
      <c r="C36" s="146"/>
      <c r="D36" s="146"/>
    </row>
    <row r="37" spans="2:13">
      <c r="B37" s="430">
        <f>SUM(B14+ROUNDDOWN(K14,-3))</f>
        <v>1447936.3667915841</v>
      </c>
      <c r="C37" s="430"/>
      <c r="D37" s="161" t="s">
        <v>1</v>
      </c>
      <c r="E37" s="148"/>
      <c r="F37" s="148" t="s">
        <v>47</v>
      </c>
      <c r="H37" s="153">
        <v>10</v>
      </c>
      <c r="I37" s="119" t="s">
        <v>48</v>
      </c>
      <c r="J37" s="141" t="s">
        <v>49</v>
      </c>
      <c r="K37" s="420">
        <f>ROUNDDOWN(B37*H37/100,0)</f>
        <v>144793</v>
      </c>
      <c r="L37" s="420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9" t="s">
        <v>119</v>
      </c>
      <c r="C40" s="429"/>
      <c r="D40" s="429"/>
      <c r="G40" s="422" t="s">
        <v>53</v>
      </c>
      <c r="H40" s="422"/>
      <c r="I40" s="422"/>
    </row>
    <row r="41" spans="2:13">
      <c r="B41" s="146"/>
      <c r="C41" s="146"/>
      <c r="D41" s="146"/>
    </row>
    <row r="42" spans="2:13">
      <c r="B42" s="430">
        <f>SUM(B19+ROUNDDOWN(K19,-3))</f>
        <v>2991331.0385428155</v>
      </c>
      <c r="C42" s="430"/>
      <c r="D42" s="161" t="s">
        <v>1</v>
      </c>
      <c r="E42" s="148"/>
      <c r="F42" s="148" t="s">
        <v>47</v>
      </c>
      <c r="H42" s="155">
        <v>0</v>
      </c>
      <c r="I42" s="119" t="s">
        <v>48</v>
      </c>
      <c r="J42" s="141" t="s">
        <v>49</v>
      </c>
      <c r="K42" s="420">
        <f>ROUNDDOWN(B42*H42/100,0)</f>
        <v>0</v>
      </c>
      <c r="L42" s="420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28">
        <f>K32+K37+K42</f>
        <v>1645486</v>
      </c>
      <c r="L45" s="428"/>
      <c r="M45" s="5" t="s">
        <v>1</v>
      </c>
    </row>
    <row r="46" spans="2:13" ht="28.5" customHeight="1">
      <c r="H46" s="119" t="s">
        <v>169</v>
      </c>
      <c r="K46" s="426">
        <f>ROUNDDOWN(K45,-3)</f>
        <v>1645000</v>
      </c>
      <c r="L46" s="426"/>
      <c r="M46" s="5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75" zoomScaleNormal="75" zoomScaleSheetLayoutView="75" workbookViewId="0">
      <selection activeCell="G1" sqref="G1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558"/>
      <c r="B1" s="558"/>
      <c r="C1" s="558"/>
      <c r="D1" s="558"/>
      <c r="E1" s="558"/>
      <c r="F1" s="558"/>
      <c r="G1" s="338" t="str">
        <f>IF(様式1!$B$5="見積金額内訳書",様式1!$R$5,"")</f>
        <v>様式２</v>
      </c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95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7750000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3">
        <f>E5+様式2_4旅費!F4+様式2_4旅費!F6+様式2_5現地活動費!E3+様式2_6本邦受入活動費!E6</f>
        <v>7373000</v>
      </c>
      <c r="G4" s="209"/>
    </row>
    <row r="5" spans="1:8" ht="20.100000000000001" customHeight="1" thickBot="1">
      <c r="A5" s="108" t="s">
        <v>2</v>
      </c>
      <c r="B5" s="57" t="s">
        <v>336</v>
      </c>
      <c r="C5" s="55"/>
      <c r="D5" s="137"/>
      <c r="E5" s="214">
        <f>F40</f>
        <v>2450000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108</v>
      </c>
      <c r="B7" s="59"/>
      <c r="C7" s="59"/>
      <c r="D7" s="77">
        <f>F22</f>
        <v>2250000</v>
      </c>
      <c r="E7" s="58" t="s">
        <v>12</v>
      </c>
      <c r="F7" s="58"/>
      <c r="G7" s="58"/>
    </row>
    <row r="8" spans="1:8" s="32" customFormat="1" ht="21" customHeight="1">
      <c r="A8" s="439" t="s">
        <v>69</v>
      </c>
      <c r="B8" s="440"/>
      <c r="C8" s="441"/>
      <c r="D8" s="357" t="s">
        <v>70</v>
      </c>
      <c r="E8" s="357" t="s">
        <v>71</v>
      </c>
      <c r="F8" s="357" t="s">
        <v>66</v>
      </c>
      <c r="G8" s="358" t="s">
        <v>72</v>
      </c>
      <c r="H8" s="33"/>
    </row>
    <row r="9" spans="1:8" s="32" customFormat="1" ht="26.25" customHeight="1">
      <c r="A9" s="452" t="s">
        <v>109</v>
      </c>
      <c r="B9" s="455"/>
      <c r="C9" s="456"/>
      <c r="D9" s="359"/>
      <c r="E9" s="359"/>
      <c r="F9" s="360">
        <f>'機材様式（別紙明細）'!D4</f>
        <v>1900000</v>
      </c>
      <c r="G9" s="379" t="s">
        <v>325</v>
      </c>
    </row>
    <row r="10" spans="1:8" s="32" customFormat="1" ht="26.25" customHeight="1">
      <c r="A10" s="453"/>
      <c r="B10" s="457"/>
      <c r="C10" s="458"/>
      <c r="D10" s="361"/>
      <c r="E10" s="361"/>
      <c r="F10" s="360">
        <f>D10*E10</f>
        <v>0</v>
      </c>
      <c r="G10" s="379"/>
    </row>
    <row r="11" spans="1:8" s="32" customFormat="1" ht="26.25" customHeight="1">
      <c r="A11" s="454"/>
      <c r="B11" s="362"/>
      <c r="C11" s="363"/>
      <c r="D11" s="361"/>
      <c r="E11" s="361"/>
      <c r="F11" s="360">
        <f>D11*E11</f>
        <v>0</v>
      </c>
      <c r="G11" s="379"/>
    </row>
    <row r="12" spans="1:8" s="32" customFormat="1" ht="26.25" customHeight="1">
      <c r="A12" s="444" t="s">
        <v>73</v>
      </c>
      <c r="B12" s="445"/>
      <c r="C12" s="445"/>
      <c r="D12" s="445"/>
      <c r="E12" s="446"/>
      <c r="F12" s="364">
        <f>SUM(F9:F11)</f>
        <v>1900000</v>
      </c>
      <c r="G12" s="380"/>
    </row>
    <row r="13" spans="1:8" s="32" customFormat="1" ht="26.25" customHeight="1">
      <c r="A13" s="452" t="s">
        <v>110</v>
      </c>
      <c r="B13" s="431"/>
      <c r="C13" s="432"/>
      <c r="D13" s="359"/>
      <c r="E13" s="359"/>
      <c r="F13" s="365">
        <f>'機材様式（別紙明細）'!D16</f>
        <v>200000</v>
      </c>
      <c r="G13" s="381" t="s">
        <v>327</v>
      </c>
    </row>
    <row r="14" spans="1:8" s="32" customFormat="1" ht="26.25" customHeight="1">
      <c r="A14" s="459"/>
      <c r="B14" s="431"/>
      <c r="C14" s="432"/>
      <c r="D14" s="366"/>
      <c r="E14" s="366"/>
      <c r="F14" s="360">
        <f>D14*E14</f>
        <v>0</v>
      </c>
      <c r="G14" s="381"/>
    </row>
    <row r="15" spans="1:8" s="32" customFormat="1" ht="26.25" customHeight="1">
      <c r="A15" s="460"/>
      <c r="B15" s="431"/>
      <c r="C15" s="432"/>
      <c r="D15" s="361"/>
      <c r="E15" s="361"/>
      <c r="F15" s="360">
        <f>D15*E15</f>
        <v>0</v>
      </c>
      <c r="G15" s="381"/>
    </row>
    <row r="16" spans="1:8" s="32" customFormat="1" ht="26.25" customHeight="1">
      <c r="A16" s="444" t="s">
        <v>73</v>
      </c>
      <c r="B16" s="445"/>
      <c r="C16" s="445"/>
      <c r="D16" s="445"/>
      <c r="E16" s="446"/>
      <c r="F16" s="364">
        <f>SUM(F13:F15)</f>
        <v>200000</v>
      </c>
      <c r="G16" s="382"/>
    </row>
    <row r="17" spans="1:7" s="32" customFormat="1" ht="26.25" customHeight="1">
      <c r="A17" s="447" t="s">
        <v>105</v>
      </c>
      <c r="B17" s="368"/>
      <c r="C17" s="369"/>
      <c r="D17" s="359"/>
      <c r="E17" s="359"/>
      <c r="F17" s="370">
        <f>'機材様式（別紙明細）'!D24</f>
        <v>150000</v>
      </c>
      <c r="G17" s="382" t="s">
        <v>326</v>
      </c>
    </row>
    <row r="18" spans="1:7" s="32" customFormat="1" ht="26.25" customHeight="1">
      <c r="A18" s="448"/>
      <c r="B18" s="368"/>
      <c r="C18" s="369"/>
      <c r="D18" s="371"/>
      <c r="E18" s="372"/>
      <c r="F18" s="360">
        <f>D18*E18</f>
        <v>0</v>
      </c>
      <c r="G18" s="367"/>
    </row>
    <row r="19" spans="1:7" s="32" customFormat="1" ht="26.25" customHeight="1">
      <c r="A19" s="449"/>
      <c r="B19" s="368"/>
      <c r="C19" s="369"/>
      <c r="D19" s="373"/>
      <c r="E19" s="372"/>
      <c r="F19" s="360">
        <f>D19*E19</f>
        <v>0</v>
      </c>
      <c r="G19" s="367"/>
    </row>
    <row r="20" spans="1:7" s="32" customFormat="1" ht="27" customHeight="1">
      <c r="A20" s="442" t="s">
        <v>73</v>
      </c>
      <c r="B20" s="443"/>
      <c r="C20" s="443"/>
      <c r="D20" s="443"/>
      <c r="E20" s="443"/>
      <c r="F20" s="364">
        <f>SUM(F17:F19)</f>
        <v>150000</v>
      </c>
      <c r="G20" s="374"/>
    </row>
    <row r="21" spans="1:7" s="32" customFormat="1" ht="27" customHeight="1" thickBot="1">
      <c r="A21" s="450" t="s">
        <v>100</v>
      </c>
      <c r="B21" s="451"/>
      <c r="C21" s="451"/>
      <c r="D21" s="451"/>
      <c r="E21" s="451"/>
      <c r="F21" s="375">
        <f>F12+F16+F20</f>
        <v>2250000</v>
      </c>
      <c r="G21" s="376"/>
    </row>
    <row r="22" spans="1:7" s="32" customFormat="1" ht="27" customHeight="1" thickBot="1">
      <c r="A22" s="58"/>
      <c r="B22" s="58"/>
      <c r="C22" s="58"/>
      <c r="D22" s="58"/>
      <c r="E22" s="119" t="s">
        <v>169</v>
      </c>
      <c r="F22" s="201">
        <f>ROUNDDOWN(F21,-3)</f>
        <v>2250000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170</v>
      </c>
      <c r="B24" s="65"/>
      <c r="C24" s="65"/>
      <c r="D24" s="77">
        <f>F30</f>
        <v>100000</v>
      </c>
      <c r="E24" s="58" t="s">
        <v>12</v>
      </c>
      <c r="F24" s="58"/>
      <c r="G24" s="58"/>
    </row>
    <row r="25" spans="1:7" s="32" customFormat="1" ht="20.25" customHeight="1">
      <c r="A25" s="433" t="s">
        <v>69</v>
      </c>
      <c r="B25" s="434"/>
      <c r="C25" s="435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>
        <v>100000</v>
      </c>
      <c r="E26" s="80">
        <v>1</v>
      </c>
      <c r="F26" s="182">
        <f>D26*E26</f>
        <v>100000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6" t="s">
        <v>74</v>
      </c>
      <c r="B29" s="437"/>
      <c r="C29" s="437"/>
      <c r="D29" s="437"/>
      <c r="E29" s="438"/>
      <c r="F29" s="78">
        <f>SUM(F26:F28)</f>
        <v>100000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169</v>
      </c>
      <c r="F30" s="201">
        <f>ROUNDDOWN(F29,-3)</f>
        <v>100000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115</v>
      </c>
      <c r="B32" s="109"/>
      <c r="C32" s="65"/>
      <c r="D32" s="77">
        <f>F38</f>
        <v>100000</v>
      </c>
      <c r="E32" s="58" t="s">
        <v>12</v>
      </c>
      <c r="F32" s="58"/>
      <c r="G32" s="58"/>
    </row>
    <row r="33" spans="1:7" s="32" customFormat="1" ht="20.25" customHeight="1">
      <c r="A33" s="433" t="s">
        <v>69</v>
      </c>
      <c r="B33" s="434"/>
      <c r="C33" s="435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>
        <v>100000</v>
      </c>
      <c r="E34" s="93">
        <v>1</v>
      </c>
      <c r="F34" s="182">
        <f>D34*E34</f>
        <v>100000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6" t="s">
        <v>84</v>
      </c>
      <c r="B37" s="437"/>
      <c r="C37" s="437"/>
      <c r="D37" s="437"/>
      <c r="E37" s="438"/>
      <c r="F37" s="78">
        <f>SUM(F34:F36)</f>
        <v>100000</v>
      </c>
      <c r="G37" s="62"/>
    </row>
    <row r="38" spans="1:7" ht="24" customHeight="1" thickBot="1">
      <c r="A38" s="65"/>
      <c r="B38" s="65"/>
      <c r="C38" s="58"/>
      <c r="D38" s="58"/>
      <c r="E38" s="119" t="s">
        <v>169</v>
      </c>
      <c r="F38" s="201">
        <f>ROUNDDOWN(F37,-3)</f>
        <v>100000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101</v>
      </c>
      <c r="B40" s="65"/>
      <c r="C40" s="58"/>
      <c r="E40" s="162"/>
      <c r="F40" s="138">
        <f>D7+D24+D32</f>
        <v>2450000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7">
    <mergeCell ref="B10:C10"/>
    <mergeCell ref="A13:A15"/>
    <mergeCell ref="B15:C15"/>
    <mergeCell ref="B13:C13"/>
    <mergeCell ref="A33:C33"/>
    <mergeCell ref="A37:E37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="73" zoomScaleNormal="75" zoomScaleSheetLayoutView="73" workbookViewId="0">
      <selection activeCell="V1" sqref="V1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V1" s="338" t="str">
        <f>IF(様式1!$B$5="見積金額内訳書",様式1!$R$5,"")</f>
        <v>様式２</v>
      </c>
      <c r="AA1" s="378" t="s">
        <v>323</v>
      </c>
      <c r="AB1" s="378" t="s">
        <v>324</v>
      </c>
    </row>
    <row r="2" spans="1:28">
      <c r="A2" s="100" t="s">
        <v>95</v>
      </c>
      <c r="B2" s="100" t="s">
        <v>21</v>
      </c>
      <c r="C2" s="100"/>
      <c r="AA2" s="377">
        <v>3800</v>
      </c>
      <c r="AB2" s="377">
        <v>11600</v>
      </c>
    </row>
    <row r="3" spans="1:28">
      <c r="A3" s="89" t="s">
        <v>34</v>
      </c>
      <c r="B3" s="7" t="s">
        <v>92</v>
      </c>
      <c r="AA3" s="377">
        <v>3420</v>
      </c>
      <c r="AB3" s="377">
        <v>10440</v>
      </c>
    </row>
    <row r="4" spans="1:28" ht="30" customHeight="1" thickBot="1">
      <c r="B4" s="8"/>
      <c r="C4" s="8"/>
      <c r="D4" s="8" t="s">
        <v>121</v>
      </c>
      <c r="E4" s="8"/>
      <c r="F4" s="461">
        <f>E43</f>
        <v>1533000</v>
      </c>
      <c r="G4" s="461"/>
      <c r="H4" s="8" t="s">
        <v>122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7">
        <v>3040</v>
      </c>
      <c r="AB4" s="377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66" t="s">
        <v>331</v>
      </c>
      <c r="C6" s="466"/>
      <c r="D6" s="466"/>
      <c r="E6" s="466"/>
      <c r="F6" s="461">
        <f>V43</f>
        <v>2060000</v>
      </c>
      <c r="G6" s="461"/>
      <c r="H6" s="8" t="s">
        <v>122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138</v>
      </c>
      <c r="B8" s="126" t="s">
        <v>136</v>
      </c>
      <c r="C8" s="125" t="s">
        <v>137</v>
      </c>
      <c r="D8" s="9" t="s">
        <v>80</v>
      </c>
      <c r="E8" s="9" t="s">
        <v>20</v>
      </c>
      <c r="F8" s="9" t="s">
        <v>235</v>
      </c>
      <c r="G8" s="9" t="s">
        <v>55</v>
      </c>
      <c r="H8" s="10"/>
      <c r="I8" s="463" t="s">
        <v>13</v>
      </c>
      <c r="J8" s="464"/>
      <c r="K8" s="464"/>
      <c r="L8" s="464"/>
      <c r="M8" s="464"/>
      <c r="N8" s="465"/>
      <c r="O8" s="463" t="s">
        <v>14</v>
      </c>
      <c r="P8" s="464"/>
      <c r="Q8" s="464"/>
      <c r="R8" s="464"/>
      <c r="S8" s="464"/>
      <c r="T8" s="465"/>
      <c r="U8" s="9" t="s">
        <v>98</v>
      </c>
      <c r="V8" s="9" t="s">
        <v>19</v>
      </c>
    </row>
    <row r="9" spans="1:28" ht="30" customHeight="1">
      <c r="A9" s="238">
        <v>1</v>
      </c>
      <c r="B9" s="298" t="str">
        <f>IF($A9="","",VLOOKUP($A9,従事者明細!$A$3:$F$51,2))</f>
        <v>田中　正樹（日本）</v>
      </c>
      <c r="C9" s="199" t="str">
        <f>IF($A9="","",VLOOKUP($A9,従事者明細!$A$3:$F$51,3))</f>
        <v>業務主任/事業計画策定</v>
      </c>
      <c r="D9" s="3">
        <v>15</v>
      </c>
      <c r="E9" s="323">
        <f t="shared" ref="E9:E41" si="0">IF($F9="","",VLOOKUP($F9,$D$46:$F$50,2))</f>
        <v>241815</v>
      </c>
      <c r="F9" s="337">
        <v>2</v>
      </c>
      <c r="G9" s="324" t="str">
        <f t="shared" ref="G9:G41" si="1">IF($F9="","",VLOOKUP($F9,$D$46:$F$50,3))</f>
        <v>C</v>
      </c>
      <c r="H9" s="11"/>
      <c r="I9" s="384">
        <v>3800</v>
      </c>
      <c r="J9" s="12" t="s">
        <v>15</v>
      </c>
      <c r="K9" s="389">
        <f>IF(D9="","",D9)</f>
        <v>15</v>
      </c>
      <c r="L9" s="12" t="s">
        <v>16</v>
      </c>
      <c r="M9" s="12" t="s">
        <v>17</v>
      </c>
      <c r="N9" s="204">
        <f>IF(K9="","",SUM(I9*K9))</f>
        <v>57000</v>
      </c>
      <c r="O9" s="385">
        <v>11600</v>
      </c>
      <c r="P9" s="12" t="s">
        <v>15</v>
      </c>
      <c r="Q9" s="389">
        <f>IF(K9="","",K9-2)</f>
        <v>13</v>
      </c>
      <c r="R9" s="12" t="s">
        <v>18</v>
      </c>
      <c r="S9" s="12" t="s">
        <v>17</v>
      </c>
      <c r="T9" s="204">
        <f>IF(Q9="","",SUM(O9*Q9))</f>
        <v>150800</v>
      </c>
      <c r="U9" s="25">
        <v>2200</v>
      </c>
      <c r="V9" s="205">
        <f>IF(D9="","",SUM(N9+T9+U9))</f>
        <v>210000</v>
      </c>
      <c r="X9" s="7" t="s">
        <v>54</v>
      </c>
    </row>
    <row r="10" spans="1:28" ht="30" customHeight="1">
      <c r="A10" s="238">
        <v>1</v>
      </c>
      <c r="B10" s="298" t="str">
        <f>IF($A10="","",VLOOKUP($A10,従事者明細!$A$3:$F$51,2))</f>
        <v>田中　正樹（日本）</v>
      </c>
      <c r="C10" s="199" t="str">
        <f>IF($A10="","",VLOOKUP($A10,従事者明細!$A$3:$F$51,3))</f>
        <v>業務主任/事業計画策定</v>
      </c>
      <c r="D10" s="3">
        <v>10</v>
      </c>
      <c r="E10" s="323">
        <f t="shared" si="0"/>
        <v>241815</v>
      </c>
      <c r="F10" s="337">
        <v>2</v>
      </c>
      <c r="G10" s="324" t="str">
        <f t="shared" si="1"/>
        <v>C</v>
      </c>
      <c r="H10" s="8"/>
      <c r="I10" s="384">
        <v>3800</v>
      </c>
      <c r="J10" s="12" t="s">
        <v>15</v>
      </c>
      <c r="K10" s="389">
        <f t="shared" ref="K10:K41" si="2">IF(D10="","",D10)</f>
        <v>10</v>
      </c>
      <c r="L10" s="12" t="s">
        <v>16</v>
      </c>
      <c r="M10" s="12" t="s">
        <v>17</v>
      </c>
      <c r="N10" s="204">
        <f t="shared" ref="N10:N41" si="3">IF(K10="","",SUM(I10*K10))</f>
        <v>38000</v>
      </c>
      <c r="O10" s="385">
        <v>11600</v>
      </c>
      <c r="P10" s="12" t="s">
        <v>15</v>
      </c>
      <c r="Q10" s="389">
        <f t="shared" ref="Q10:Q41" si="4">IF(K10="","",K10-2)</f>
        <v>8</v>
      </c>
      <c r="R10" s="12" t="s">
        <v>18</v>
      </c>
      <c r="S10" s="12" t="s">
        <v>17</v>
      </c>
      <c r="T10" s="204">
        <f t="shared" ref="T10:T41" si="5">IF(Q10="","",SUM(O10*Q10))</f>
        <v>92800</v>
      </c>
      <c r="U10" s="25">
        <v>4870</v>
      </c>
      <c r="V10" s="205">
        <f t="shared" ref="V10:V41" si="6">IF(D10="","",SUM(N10+T10+U10))</f>
        <v>135670</v>
      </c>
      <c r="X10" s="7" t="s">
        <v>56</v>
      </c>
    </row>
    <row r="11" spans="1:28" ht="30" customHeight="1">
      <c r="A11" s="238">
        <v>2</v>
      </c>
      <c r="B11" s="298" t="str">
        <f>IF($A11="","",VLOOKUP($A11,従事者明細!$A$3:$F$51,2))</f>
        <v>本田　慶介（日本）</v>
      </c>
      <c r="C11" s="199" t="str">
        <f>IF($A11="","",VLOOKUP($A11,従事者明細!$A$3:$F$51,3))</f>
        <v>開発課題1/農村調査</v>
      </c>
      <c r="D11" s="3">
        <v>15</v>
      </c>
      <c r="E11" s="323">
        <f t="shared" si="0"/>
        <v>125918</v>
      </c>
      <c r="F11" s="337">
        <v>1</v>
      </c>
      <c r="G11" s="324" t="str">
        <f t="shared" si="1"/>
        <v>Y</v>
      </c>
      <c r="H11" s="8"/>
      <c r="I11" s="384">
        <v>3800</v>
      </c>
      <c r="J11" s="12" t="s">
        <v>15</v>
      </c>
      <c r="K11" s="389">
        <f t="shared" si="2"/>
        <v>15</v>
      </c>
      <c r="L11" s="12" t="s">
        <v>16</v>
      </c>
      <c r="M11" s="12" t="s">
        <v>17</v>
      </c>
      <c r="N11" s="204">
        <f t="shared" si="3"/>
        <v>57000</v>
      </c>
      <c r="O11" s="385">
        <v>11600</v>
      </c>
      <c r="P11" s="12" t="s">
        <v>15</v>
      </c>
      <c r="Q11" s="389">
        <f t="shared" si="4"/>
        <v>13</v>
      </c>
      <c r="R11" s="12" t="s">
        <v>18</v>
      </c>
      <c r="S11" s="12" t="s">
        <v>17</v>
      </c>
      <c r="T11" s="204">
        <f t="shared" si="5"/>
        <v>150800</v>
      </c>
      <c r="U11" s="25">
        <v>4870</v>
      </c>
      <c r="V11" s="205">
        <f t="shared" si="6"/>
        <v>212670</v>
      </c>
    </row>
    <row r="12" spans="1:28" ht="30" customHeight="1">
      <c r="A12" s="238">
        <v>2</v>
      </c>
      <c r="B12" s="298" t="str">
        <f>IF($A12="","",VLOOKUP($A12,従事者明細!$A$3:$F$51,2))</f>
        <v>本田　慶介（日本）</v>
      </c>
      <c r="C12" s="199" t="str">
        <f>IF($A12="","",VLOOKUP($A12,従事者明細!$A$3:$F$51,3))</f>
        <v>開発課題1/農村調査</v>
      </c>
      <c r="D12" s="3">
        <v>10</v>
      </c>
      <c r="E12" s="323">
        <f t="shared" si="0"/>
        <v>125918</v>
      </c>
      <c r="F12" s="337">
        <v>1</v>
      </c>
      <c r="G12" s="324" t="str">
        <f t="shared" si="1"/>
        <v>Y</v>
      </c>
      <c r="H12" s="8"/>
      <c r="I12" s="384">
        <v>3800</v>
      </c>
      <c r="J12" s="12" t="s">
        <v>15</v>
      </c>
      <c r="K12" s="389">
        <f t="shared" si="2"/>
        <v>10</v>
      </c>
      <c r="L12" s="12" t="s">
        <v>16</v>
      </c>
      <c r="M12" s="12" t="s">
        <v>17</v>
      </c>
      <c r="N12" s="204">
        <f t="shared" ref="N12" si="7">IF(K12="","",SUM(I12*K12))</f>
        <v>38000</v>
      </c>
      <c r="O12" s="385">
        <v>11600</v>
      </c>
      <c r="P12" s="12" t="s">
        <v>15</v>
      </c>
      <c r="Q12" s="389">
        <f t="shared" si="4"/>
        <v>8</v>
      </c>
      <c r="R12" s="12" t="s">
        <v>18</v>
      </c>
      <c r="S12" s="12" t="s">
        <v>17</v>
      </c>
      <c r="T12" s="204">
        <f t="shared" ref="T12" si="8">IF(Q12="","",SUM(O12*Q12))</f>
        <v>92800</v>
      </c>
      <c r="U12" s="25">
        <v>4870</v>
      </c>
      <c r="V12" s="205">
        <f t="shared" ref="V12" si="9">IF(D12="","",SUM(N12+T12+U12))</f>
        <v>135670</v>
      </c>
    </row>
    <row r="13" spans="1:28" ht="30" customHeight="1">
      <c r="A13" s="238">
        <v>3</v>
      </c>
      <c r="B13" s="298" t="str">
        <f>IF($A13="","",VLOOKUP($A13,従事者明細!$A$3:$F$51,2))</f>
        <v>阿部　一朗（日本）</v>
      </c>
      <c r="C13" s="199" t="str">
        <f>IF($A13="","",VLOOKUP($A13,従事者明細!$A$3:$F$51,3))</f>
        <v>開発課題2/市場調査</v>
      </c>
      <c r="D13" s="3">
        <v>15</v>
      </c>
      <c r="E13" s="323">
        <f t="shared" si="0"/>
        <v>125918</v>
      </c>
      <c r="F13" s="337">
        <v>1</v>
      </c>
      <c r="G13" s="324" t="str">
        <f t="shared" si="1"/>
        <v>Y</v>
      </c>
      <c r="H13" s="8"/>
      <c r="I13" s="384">
        <v>3800</v>
      </c>
      <c r="J13" s="12" t="s">
        <v>15</v>
      </c>
      <c r="K13" s="389">
        <f t="shared" si="2"/>
        <v>15</v>
      </c>
      <c r="L13" s="12" t="s">
        <v>16</v>
      </c>
      <c r="M13" s="12" t="s">
        <v>17</v>
      </c>
      <c r="N13" s="204">
        <f t="shared" ref="N13" si="10">IF(K13="","",SUM(I13*K13))</f>
        <v>57000</v>
      </c>
      <c r="O13" s="385">
        <v>11600</v>
      </c>
      <c r="P13" s="12" t="s">
        <v>15</v>
      </c>
      <c r="Q13" s="389">
        <f t="shared" si="4"/>
        <v>13</v>
      </c>
      <c r="R13" s="12" t="s">
        <v>18</v>
      </c>
      <c r="S13" s="12" t="s">
        <v>17</v>
      </c>
      <c r="T13" s="204">
        <f t="shared" ref="T13" si="11">IF(Q13="","",SUM(O13*Q13))</f>
        <v>150800</v>
      </c>
      <c r="U13" s="25">
        <v>4870</v>
      </c>
      <c r="V13" s="205">
        <f t="shared" ref="V13" si="12">IF(D13="","",SUM(N13+T13+U13))</f>
        <v>212670</v>
      </c>
    </row>
    <row r="14" spans="1:28" ht="30" customHeight="1">
      <c r="A14" s="238">
        <v>3</v>
      </c>
      <c r="B14" s="298" t="str">
        <f>IF($A14="","",VLOOKUP($A14,従事者明細!$A$3:$F$51,2))</f>
        <v>阿部　一朗（日本）</v>
      </c>
      <c r="C14" s="199" t="str">
        <f>IF($A14="","",VLOOKUP($A14,従事者明細!$A$3:$F$51,3))</f>
        <v>開発課題2/市場調査</v>
      </c>
      <c r="D14" s="3">
        <v>10</v>
      </c>
      <c r="E14" s="323">
        <f t="shared" si="0"/>
        <v>125918</v>
      </c>
      <c r="F14" s="337">
        <v>1</v>
      </c>
      <c r="G14" s="324" t="str">
        <f t="shared" si="1"/>
        <v>Y</v>
      </c>
      <c r="H14" s="8"/>
      <c r="I14" s="384">
        <v>3800</v>
      </c>
      <c r="J14" s="12" t="s">
        <v>15</v>
      </c>
      <c r="K14" s="389">
        <f t="shared" si="2"/>
        <v>10</v>
      </c>
      <c r="L14" s="12" t="s">
        <v>16</v>
      </c>
      <c r="M14" s="12" t="s">
        <v>17</v>
      </c>
      <c r="N14" s="204">
        <f t="shared" ref="N14" si="13">IF(K14="","",SUM(I14*K14))</f>
        <v>38000</v>
      </c>
      <c r="O14" s="385">
        <v>11600</v>
      </c>
      <c r="P14" s="12" t="s">
        <v>15</v>
      </c>
      <c r="Q14" s="389">
        <f t="shared" si="4"/>
        <v>8</v>
      </c>
      <c r="R14" s="12" t="s">
        <v>18</v>
      </c>
      <c r="S14" s="12" t="s">
        <v>17</v>
      </c>
      <c r="T14" s="204">
        <f t="shared" ref="T14" si="14">IF(Q14="","",SUM(O14*Q14))</f>
        <v>92800</v>
      </c>
      <c r="U14" s="25">
        <v>4870</v>
      </c>
      <c r="V14" s="205">
        <f t="shared" ref="V14" si="15">IF(D14="","",SUM(N14+T14+U14))</f>
        <v>135670</v>
      </c>
    </row>
    <row r="15" spans="1:28" ht="30" customHeight="1">
      <c r="A15" s="238">
        <v>4</v>
      </c>
      <c r="B15" s="298" t="str">
        <f>IF($A15="","",VLOOKUP($A15,従事者明細!$A$3:$F$51,2))</f>
        <v>半沢　直樹（日本）</v>
      </c>
      <c r="C15" s="199" t="str">
        <f>IF($A15="","",VLOOKUP($A15,従事者明細!$A$3:$F$51,3))</f>
        <v>パートナー連携</v>
      </c>
      <c r="D15" s="3">
        <v>15</v>
      </c>
      <c r="E15" s="323">
        <f t="shared" si="0"/>
        <v>125918</v>
      </c>
      <c r="F15" s="337">
        <v>1</v>
      </c>
      <c r="G15" s="324" t="str">
        <f t="shared" si="1"/>
        <v>Y</v>
      </c>
      <c r="H15" s="8"/>
      <c r="I15" s="384">
        <v>3800</v>
      </c>
      <c r="J15" s="12" t="s">
        <v>15</v>
      </c>
      <c r="K15" s="389">
        <f t="shared" si="2"/>
        <v>15</v>
      </c>
      <c r="L15" s="12" t="s">
        <v>16</v>
      </c>
      <c r="M15" s="12" t="s">
        <v>17</v>
      </c>
      <c r="N15" s="204">
        <f t="shared" si="3"/>
        <v>57000</v>
      </c>
      <c r="O15" s="385">
        <v>11600</v>
      </c>
      <c r="P15" s="12" t="s">
        <v>15</v>
      </c>
      <c r="Q15" s="389">
        <f t="shared" si="4"/>
        <v>13</v>
      </c>
      <c r="R15" s="12" t="s">
        <v>18</v>
      </c>
      <c r="S15" s="12" t="s">
        <v>17</v>
      </c>
      <c r="T15" s="204">
        <f t="shared" si="5"/>
        <v>150800</v>
      </c>
      <c r="U15" s="25">
        <v>4870</v>
      </c>
      <c r="V15" s="205">
        <f t="shared" si="6"/>
        <v>212670</v>
      </c>
    </row>
    <row r="16" spans="1:28" ht="30" customHeight="1">
      <c r="A16" s="238">
        <v>4</v>
      </c>
      <c r="B16" s="298" t="str">
        <f>IF($A16="","",VLOOKUP($A16,従事者明細!$A$3:$F$51,2))</f>
        <v>半沢　直樹（日本）</v>
      </c>
      <c r="C16" s="199" t="str">
        <f>IF($A16="","",VLOOKUP($A16,従事者明細!$A$3:$F$51,3))</f>
        <v>パートナー連携</v>
      </c>
      <c r="D16" s="3">
        <v>15</v>
      </c>
      <c r="E16" s="323">
        <f t="shared" si="0"/>
        <v>125918</v>
      </c>
      <c r="F16" s="337">
        <v>1</v>
      </c>
      <c r="G16" s="324" t="str">
        <f t="shared" si="1"/>
        <v>Y</v>
      </c>
      <c r="H16" s="8"/>
      <c r="I16" s="384">
        <v>3800</v>
      </c>
      <c r="J16" s="12" t="s">
        <v>15</v>
      </c>
      <c r="K16" s="389">
        <f t="shared" si="2"/>
        <v>15</v>
      </c>
      <c r="L16" s="12" t="s">
        <v>16</v>
      </c>
      <c r="M16" s="12" t="s">
        <v>17</v>
      </c>
      <c r="N16" s="204">
        <f t="shared" ref="N16" si="16">IF(K16="","",SUM(I16*K16))</f>
        <v>57000</v>
      </c>
      <c r="O16" s="385">
        <v>11600</v>
      </c>
      <c r="P16" s="12" t="s">
        <v>15</v>
      </c>
      <c r="Q16" s="389">
        <f t="shared" si="4"/>
        <v>13</v>
      </c>
      <c r="R16" s="12" t="s">
        <v>18</v>
      </c>
      <c r="S16" s="12" t="s">
        <v>17</v>
      </c>
      <c r="T16" s="204">
        <f t="shared" ref="T16" si="17">IF(Q16="","",SUM(O16*Q16))</f>
        <v>150800</v>
      </c>
      <c r="U16" s="25">
        <v>4870</v>
      </c>
      <c r="V16" s="205">
        <f t="shared" ref="V16" si="18">IF(D16="","",SUM(N16+T16+U16))</f>
        <v>212670</v>
      </c>
    </row>
    <row r="17" spans="1:22" ht="30" customHeight="1">
      <c r="A17" s="238">
        <v>5</v>
      </c>
      <c r="B17" s="298" t="str">
        <f>IF($A17="","",VLOOKUP($A17,従事者明細!$A$3:$F$51,2))</f>
        <v>国際　太郎（ベトナム）</v>
      </c>
      <c r="C17" s="199" t="str">
        <f>IF($A17="","",VLOOKUP($A17,従事者明細!$A$3:$F$51,3))</f>
        <v>法制度調査</v>
      </c>
      <c r="D17" s="3">
        <v>10</v>
      </c>
      <c r="E17" s="323">
        <f t="shared" si="0"/>
        <v>0</v>
      </c>
      <c r="F17" s="337">
        <v>5</v>
      </c>
      <c r="G17" s="324">
        <f t="shared" si="1"/>
        <v>0</v>
      </c>
      <c r="H17" s="8"/>
      <c r="I17" s="384">
        <v>3800</v>
      </c>
      <c r="J17" s="12" t="s">
        <v>15</v>
      </c>
      <c r="K17" s="389">
        <f t="shared" si="2"/>
        <v>10</v>
      </c>
      <c r="L17" s="12" t="s">
        <v>16</v>
      </c>
      <c r="M17" s="12" t="s">
        <v>17</v>
      </c>
      <c r="N17" s="204">
        <f t="shared" si="3"/>
        <v>38000</v>
      </c>
      <c r="O17" s="385">
        <v>11600</v>
      </c>
      <c r="P17" s="12" t="s">
        <v>15</v>
      </c>
      <c r="Q17" s="389">
        <f t="shared" si="4"/>
        <v>8</v>
      </c>
      <c r="R17" s="12" t="s">
        <v>18</v>
      </c>
      <c r="S17" s="12" t="s">
        <v>17</v>
      </c>
      <c r="T17" s="204">
        <f t="shared" si="5"/>
        <v>92800</v>
      </c>
      <c r="U17" s="25">
        <v>0</v>
      </c>
      <c r="V17" s="205">
        <f t="shared" si="6"/>
        <v>130800</v>
      </c>
    </row>
    <row r="18" spans="1:22" ht="30" customHeight="1">
      <c r="A18" s="238">
        <v>6</v>
      </c>
      <c r="B18" s="298" t="str">
        <f>IF($A18="","",VLOOKUP($A18,従事者明細!$A$3:$F$51,2))</f>
        <v>鈴木　花子（日本）</v>
      </c>
      <c r="C18" s="199" t="str">
        <f>IF($A18="","",VLOOKUP($A18,従事者明細!$A$3:$F$51,3))</f>
        <v>環境社会配慮調査</v>
      </c>
      <c r="D18" s="3">
        <v>25</v>
      </c>
      <c r="E18" s="323">
        <f t="shared" si="0"/>
        <v>146973</v>
      </c>
      <c r="F18" s="337">
        <v>3</v>
      </c>
      <c r="G18" s="324" t="str">
        <f t="shared" si="1"/>
        <v>Y</v>
      </c>
      <c r="H18" s="8"/>
      <c r="I18" s="384">
        <v>3800</v>
      </c>
      <c r="J18" s="12" t="s">
        <v>15</v>
      </c>
      <c r="K18" s="389">
        <f t="shared" si="2"/>
        <v>25</v>
      </c>
      <c r="L18" s="12" t="s">
        <v>16</v>
      </c>
      <c r="M18" s="12" t="s">
        <v>17</v>
      </c>
      <c r="N18" s="204">
        <f t="shared" si="3"/>
        <v>95000</v>
      </c>
      <c r="O18" s="385">
        <v>11600</v>
      </c>
      <c r="P18" s="12" t="s">
        <v>15</v>
      </c>
      <c r="Q18" s="389">
        <f t="shared" si="4"/>
        <v>23</v>
      </c>
      <c r="R18" s="12" t="s">
        <v>18</v>
      </c>
      <c r="S18" s="12" t="s">
        <v>17</v>
      </c>
      <c r="T18" s="204">
        <f t="shared" si="5"/>
        <v>266800</v>
      </c>
      <c r="U18" s="25">
        <v>0</v>
      </c>
      <c r="V18" s="205">
        <f t="shared" si="6"/>
        <v>361800</v>
      </c>
    </row>
    <row r="19" spans="1:22" ht="30" customHeight="1">
      <c r="A19" s="238">
        <v>6</v>
      </c>
      <c r="B19" s="298" t="str">
        <f>IF($A19="","",VLOOKUP($A19,従事者明細!$A$3:$F$51,2))</f>
        <v>鈴木　花子（日本）</v>
      </c>
      <c r="C19" s="199" t="str">
        <f>IF($A19="","",VLOOKUP($A19,従事者明細!$A$3:$F$51,3))</f>
        <v>環境社会配慮調査</v>
      </c>
      <c r="D19" s="3">
        <v>8</v>
      </c>
      <c r="E19" s="323">
        <f t="shared" si="0"/>
        <v>146973</v>
      </c>
      <c r="F19" s="337">
        <v>3</v>
      </c>
      <c r="G19" s="324" t="str">
        <f t="shared" si="1"/>
        <v>Y</v>
      </c>
      <c r="H19" s="8"/>
      <c r="I19" s="384">
        <v>3800</v>
      </c>
      <c r="J19" s="12" t="s">
        <v>15</v>
      </c>
      <c r="K19" s="389">
        <f t="shared" si="2"/>
        <v>8</v>
      </c>
      <c r="L19" s="12" t="s">
        <v>16</v>
      </c>
      <c r="M19" s="12" t="s">
        <v>17</v>
      </c>
      <c r="N19" s="204">
        <f t="shared" si="3"/>
        <v>30400</v>
      </c>
      <c r="O19" s="385">
        <v>11600</v>
      </c>
      <c r="P19" s="12" t="s">
        <v>15</v>
      </c>
      <c r="Q19" s="389">
        <f t="shared" si="4"/>
        <v>6</v>
      </c>
      <c r="R19" s="12" t="s">
        <v>18</v>
      </c>
      <c r="S19" s="12" t="s">
        <v>17</v>
      </c>
      <c r="T19" s="204">
        <f t="shared" si="5"/>
        <v>69600</v>
      </c>
      <c r="U19" s="25">
        <v>0</v>
      </c>
      <c r="V19" s="205">
        <f t="shared" si="6"/>
        <v>100000</v>
      </c>
    </row>
    <row r="20" spans="1:22" ht="30" customHeight="1">
      <c r="A20" s="238"/>
      <c r="B20" s="298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3" t="str">
        <f t="shared" si="0"/>
        <v/>
      </c>
      <c r="F20" s="337"/>
      <c r="G20" s="324" t="str">
        <f t="shared" si="1"/>
        <v/>
      </c>
      <c r="H20" s="8"/>
      <c r="I20" s="384">
        <v>3800</v>
      </c>
      <c r="J20" s="12" t="s">
        <v>15</v>
      </c>
      <c r="K20" s="389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5">
        <v>11600</v>
      </c>
      <c r="P20" s="12" t="s">
        <v>15</v>
      </c>
      <c r="Q20" s="389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298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3" t="str">
        <f t="shared" si="0"/>
        <v/>
      </c>
      <c r="F21" s="337"/>
      <c r="G21" s="324" t="str">
        <f t="shared" si="1"/>
        <v/>
      </c>
      <c r="H21" s="8"/>
      <c r="I21" s="384">
        <v>3800</v>
      </c>
      <c r="J21" s="12" t="s">
        <v>15</v>
      </c>
      <c r="K21" s="389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5">
        <v>11600</v>
      </c>
      <c r="P21" s="12" t="s">
        <v>15</v>
      </c>
      <c r="Q21" s="389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298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3" t="str">
        <f t="shared" si="0"/>
        <v/>
      </c>
      <c r="F22" s="337"/>
      <c r="G22" s="324" t="str">
        <f t="shared" si="1"/>
        <v/>
      </c>
      <c r="H22" s="8"/>
      <c r="I22" s="384">
        <v>3800</v>
      </c>
      <c r="J22" s="12" t="s">
        <v>15</v>
      </c>
      <c r="K22" s="389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5">
        <v>11600</v>
      </c>
      <c r="P22" s="12" t="s">
        <v>15</v>
      </c>
      <c r="Q22" s="389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298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3" t="str">
        <f t="shared" si="0"/>
        <v/>
      </c>
      <c r="F23" s="337"/>
      <c r="G23" s="324" t="str">
        <f t="shared" si="1"/>
        <v/>
      </c>
      <c r="H23" s="8"/>
      <c r="I23" s="384">
        <v>3800</v>
      </c>
      <c r="J23" s="12" t="s">
        <v>15</v>
      </c>
      <c r="K23" s="389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5">
        <v>11600</v>
      </c>
      <c r="P23" s="12" t="s">
        <v>15</v>
      </c>
      <c r="Q23" s="389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298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3" t="str">
        <f t="shared" si="0"/>
        <v/>
      </c>
      <c r="F24" s="337"/>
      <c r="G24" s="324" t="str">
        <f t="shared" si="1"/>
        <v/>
      </c>
      <c r="H24" s="8"/>
      <c r="I24" s="384">
        <v>3800</v>
      </c>
      <c r="J24" s="12" t="s">
        <v>15</v>
      </c>
      <c r="K24" s="389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5">
        <v>11600</v>
      </c>
      <c r="P24" s="12" t="s">
        <v>15</v>
      </c>
      <c r="Q24" s="389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298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3" t="str">
        <f t="shared" si="0"/>
        <v/>
      </c>
      <c r="F25" s="337"/>
      <c r="G25" s="324" t="str">
        <f t="shared" si="1"/>
        <v/>
      </c>
      <c r="H25" s="8"/>
      <c r="I25" s="384">
        <v>3800</v>
      </c>
      <c r="J25" s="12" t="s">
        <v>15</v>
      </c>
      <c r="K25" s="389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5">
        <v>11600</v>
      </c>
      <c r="P25" s="12" t="s">
        <v>15</v>
      </c>
      <c r="Q25" s="389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298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3" t="str">
        <f t="shared" si="0"/>
        <v/>
      </c>
      <c r="F26" s="337"/>
      <c r="G26" s="324" t="str">
        <f t="shared" si="1"/>
        <v/>
      </c>
      <c r="H26" s="8"/>
      <c r="I26" s="384">
        <v>3800</v>
      </c>
      <c r="J26" s="12" t="s">
        <v>15</v>
      </c>
      <c r="K26" s="389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5">
        <v>11600</v>
      </c>
      <c r="P26" s="12" t="s">
        <v>15</v>
      </c>
      <c r="Q26" s="389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298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3" t="str">
        <f t="shared" si="0"/>
        <v/>
      </c>
      <c r="F27" s="337"/>
      <c r="G27" s="324" t="str">
        <f t="shared" si="1"/>
        <v/>
      </c>
      <c r="H27" s="8"/>
      <c r="I27" s="384">
        <v>3800</v>
      </c>
      <c r="J27" s="12" t="s">
        <v>15</v>
      </c>
      <c r="K27" s="389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5">
        <v>11600</v>
      </c>
      <c r="P27" s="12" t="s">
        <v>15</v>
      </c>
      <c r="Q27" s="389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298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3" t="str">
        <f t="shared" si="0"/>
        <v/>
      </c>
      <c r="F28" s="337"/>
      <c r="G28" s="324" t="str">
        <f t="shared" si="1"/>
        <v/>
      </c>
      <c r="H28" s="8"/>
      <c r="I28" s="384">
        <v>3800</v>
      </c>
      <c r="J28" s="12" t="s">
        <v>15</v>
      </c>
      <c r="K28" s="389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5">
        <v>11600</v>
      </c>
      <c r="P28" s="12" t="s">
        <v>15</v>
      </c>
      <c r="Q28" s="389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298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3" t="str">
        <f t="shared" si="0"/>
        <v/>
      </c>
      <c r="F29" s="337"/>
      <c r="G29" s="324" t="str">
        <f t="shared" si="1"/>
        <v/>
      </c>
      <c r="H29" s="8"/>
      <c r="I29" s="384">
        <v>3800</v>
      </c>
      <c r="J29" s="12" t="s">
        <v>15</v>
      </c>
      <c r="K29" s="389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5">
        <v>11600</v>
      </c>
      <c r="P29" s="12" t="s">
        <v>15</v>
      </c>
      <c r="Q29" s="389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298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3" t="str">
        <f t="shared" si="0"/>
        <v/>
      </c>
      <c r="F30" s="337"/>
      <c r="G30" s="324" t="str">
        <f t="shared" si="1"/>
        <v/>
      </c>
      <c r="H30" s="8"/>
      <c r="I30" s="384">
        <v>3800</v>
      </c>
      <c r="J30" s="12" t="s">
        <v>15</v>
      </c>
      <c r="K30" s="389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5">
        <v>11600</v>
      </c>
      <c r="P30" s="12" t="s">
        <v>15</v>
      </c>
      <c r="Q30" s="389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298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3" t="str">
        <f t="shared" si="0"/>
        <v/>
      </c>
      <c r="F31" s="337"/>
      <c r="G31" s="324" t="str">
        <f t="shared" si="1"/>
        <v/>
      </c>
      <c r="H31" s="8"/>
      <c r="I31" s="384">
        <v>3800</v>
      </c>
      <c r="J31" s="12" t="s">
        <v>15</v>
      </c>
      <c r="K31" s="389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5">
        <v>11600</v>
      </c>
      <c r="P31" s="12" t="s">
        <v>15</v>
      </c>
      <c r="Q31" s="389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298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3" t="str">
        <f t="shared" si="0"/>
        <v/>
      </c>
      <c r="F32" s="337"/>
      <c r="G32" s="324" t="str">
        <f t="shared" si="1"/>
        <v/>
      </c>
      <c r="H32" s="8"/>
      <c r="I32" s="384">
        <v>3800</v>
      </c>
      <c r="J32" s="12" t="s">
        <v>15</v>
      </c>
      <c r="K32" s="389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5">
        <v>11600</v>
      </c>
      <c r="P32" s="12" t="s">
        <v>15</v>
      </c>
      <c r="Q32" s="389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298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3" t="str">
        <f t="shared" si="0"/>
        <v/>
      </c>
      <c r="F33" s="337"/>
      <c r="G33" s="324" t="str">
        <f t="shared" si="1"/>
        <v/>
      </c>
      <c r="H33" s="8"/>
      <c r="I33" s="384">
        <v>3800</v>
      </c>
      <c r="J33" s="12" t="s">
        <v>15</v>
      </c>
      <c r="K33" s="389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5">
        <v>11600</v>
      </c>
      <c r="P33" s="12" t="s">
        <v>15</v>
      </c>
      <c r="Q33" s="389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298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3" t="str">
        <f t="shared" si="0"/>
        <v/>
      </c>
      <c r="F34" s="337"/>
      <c r="G34" s="324" t="str">
        <f t="shared" si="1"/>
        <v/>
      </c>
      <c r="H34" s="8"/>
      <c r="I34" s="384">
        <v>3800</v>
      </c>
      <c r="J34" s="12" t="s">
        <v>15</v>
      </c>
      <c r="K34" s="389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5">
        <v>11600</v>
      </c>
      <c r="P34" s="12" t="s">
        <v>15</v>
      </c>
      <c r="Q34" s="389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298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3" t="str">
        <f t="shared" si="0"/>
        <v/>
      </c>
      <c r="F35" s="337"/>
      <c r="G35" s="324" t="str">
        <f t="shared" si="1"/>
        <v/>
      </c>
      <c r="H35" s="8"/>
      <c r="I35" s="384">
        <v>3800</v>
      </c>
      <c r="J35" s="12" t="s">
        <v>15</v>
      </c>
      <c r="K35" s="389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5">
        <v>11600</v>
      </c>
      <c r="P35" s="12" t="s">
        <v>15</v>
      </c>
      <c r="Q35" s="389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298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3" t="str">
        <f t="shared" si="0"/>
        <v/>
      </c>
      <c r="F36" s="337"/>
      <c r="G36" s="324" t="str">
        <f t="shared" si="1"/>
        <v/>
      </c>
      <c r="H36" s="8"/>
      <c r="I36" s="384">
        <v>3800</v>
      </c>
      <c r="J36" s="12" t="s">
        <v>15</v>
      </c>
      <c r="K36" s="389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5">
        <v>11600</v>
      </c>
      <c r="P36" s="12" t="s">
        <v>15</v>
      </c>
      <c r="Q36" s="389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298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3" t="str">
        <f t="shared" si="0"/>
        <v/>
      </c>
      <c r="F37" s="337"/>
      <c r="G37" s="324" t="str">
        <f t="shared" si="1"/>
        <v/>
      </c>
      <c r="H37" s="8"/>
      <c r="I37" s="384">
        <v>3800</v>
      </c>
      <c r="J37" s="12" t="s">
        <v>15</v>
      </c>
      <c r="K37" s="389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5">
        <v>11600</v>
      </c>
      <c r="P37" s="12" t="s">
        <v>15</v>
      </c>
      <c r="Q37" s="389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298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3" t="str">
        <f t="shared" si="0"/>
        <v/>
      </c>
      <c r="F38" s="337"/>
      <c r="G38" s="324" t="str">
        <f t="shared" si="1"/>
        <v/>
      </c>
      <c r="H38" s="8"/>
      <c r="I38" s="384">
        <v>3800</v>
      </c>
      <c r="J38" s="12" t="s">
        <v>15</v>
      </c>
      <c r="K38" s="389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5">
        <v>11600</v>
      </c>
      <c r="P38" s="12" t="s">
        <v>15</v>
      </c>
      <c r="Q38" s="389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298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3" t="str">
        <f t="shared" si="0"/>
        <v/>
      </c>
      <c r="F39" s="337"/>
      <c r="G39" s="324" t="str">
        <f t="shared" si="1"/>
        <v/>
      </c>
      <c r="H39" s="11"/>
      <c r="I39" s="384">
        <v>3800</v>
      </c>
      <c r="J39" s="12" t="s">
        <v>15</v>
      </c>
      <c r="K39" s="389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5">
        <v>11600</v>
      </c>
      <c r="P39" s="12" t="s">
        <v>15</v>
      </c>
      <c r="Q39" s="389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298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3" t="str">
        <f t="shared" si="0"/>
        <v/>
      </c>
      <c r="F40" s="337"/>
      <c r="G40" s="324" t="str">
        <f t="shared" si="1"/>
        <v/>
      </c>
      <c r="H40" s="8"/>
      <c r="I40" s="384">
        <v>3800</v>
      </c>
      <c r="J40" s="12" t="s">
        <v>15</v>
      </c>
      <c r="K40" s="389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5">
        <v>11600</v>
      </c>
      <c r="P40" s="12" t="s">
        <v>15</v>
      </c>
      <c r="Q40" s="389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298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3" t="str">
        <f t="shared" si="0"/>
        <v/>
      </c>
      <c r="F41" s="337"/>
      <c r="G41" s="324" t="str">
        <f t="shared" si="1"/>
        <v/>
      </c>
      <c r="H41" s="8"/>
      <c r="I41" s="384">
        <v>3800</v>
      </c>
      <c r="J41" s="12" t="s">
        <v>15</v>
      </c>
      <c r="K41" s="389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5">
        <v>11600</v>
      </c>
      <c r="P41" s="12" t="s">
        <v>15</v>
      </c>
      <c r="Q41" s="389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1533084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2060290</v>
      </c>
    </row>
    <row r="43" spans="1:22" ht="30" customHeight="1" thickBot="1">
      <c r="B43" s="8"/>
      <c r="C43" s="119"/>
      <c r="D43" s="129" t="s">
        <v>169</v>
      </c>
      <c r="E43" s="201">
        <f>ROUNDDOWN(E42,-3)</f>
        <v>1533000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169</v>
      </c>
      <c r="V43" s="201">
        <f>ROUNDDOWN(V42,-3)</f>
        <v>2060000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300" t="s">
        <v>233</v>
      </c>
      <c r="E45" s="301" t="s">
        <v>232</v>
      </c>
      <c r="F45" s="320" t="s">
        <v>234</v>
      </c>
      <c r="G45" s="471" t="s">
        <v>279</v>
      </c>
      <c r="H45" s="472"/>
      <c r="I45" s="320" t="s">
        <v>280</v>
      </c>
      <c r="J45" s="470" t="s">
        <v>281</v>
      </c>
      <c r="K45" s="470"/>
      <c r="L45" s="470" t="s">
        <v>282</v>
      </c>
      <c r="M45" s="470"/>
      <c r="N45" s="321" t="s">
        <v>283</v>
      </c>
      <c r="O45" s="322" t="s">
        <v>284</v>
      </c>
      <c r="P45" s="471" t="s">
        <v>299</v>
      </c>
      <c r="Q45" s="480"/>
      <c r="R45" s="480"/>
      <c r="S45" s="480"/>
      <c r="T45" s="480"/>
      <c r="U45" s="480"/>
      <c r="V45" s="472"/>
    </row>
    <row r="46" spans="1:22" ht="24" customHeight="1">
      <c r="B46" s="462"/>
      <c r="C46" s="467" t="s">
        <v>23</v>
      </c>
      <c r="D46" s="2">
        <v>1</v>
      </c>
      <c r="E46" s="325">
        <f>SUM(G46:O46)</f>
        <v>125918</v>
      </c>
      <c r="F46" s="2" t="s">
        <v>86</v>
      </c>
      <c r="G46" s="477">
        <v>90000</v>
      </c>
      <c r="H46" s="478"/>
      <c r="I46" s="318">
        <v>2418</v>
      </c>
      <c r="J46" s="479">
        <v>20000</v>
      </c>
      <c r="K46" s="479"/>
      <c r="L46" s="476">
        <v>9000</v>
      </c>
      <c r="M46" s="476"/>
      <c r="N46" s="319">
        <f>ROUND(G46*0.05,0)</f>
        <v>4500</v>
      </c>
      <c r="O46" s="317"/>
      <c r="P46" s="473" t="s">
        <v>300</v>
      </c>
      <c r="Q46" s="474"/>
      <c r="R46" s="474"/>
      <c r="S46" s="474"/>
      <c r="T46" s="474"/>
      <c r="U46" s="474"/>
      <c r="V46" s="475"/>
    </row>
    <row r="47" spans="1:22" ht="24" customHeight="1">
      <c r="B47" s="462"/>
      <c r="C47" s="468"/>
      <c r="D47" s="2">
        <v>2</v>
      </c>
      <c r="E47" s="325">
        <f t="shared" ref="E47:E50" si="25">SUM(G47:O47)</f>
        <v>241815</v>
      </c>
      <c r="F47" s="2" t="s">
        <v>135</v>
      </c>
      <c r="G47" s="477">
        <v>200000</v>
      </c>
      <c r="H47" s="478"/>
      <c r="I47" s="318">
        <v>2815</v>
      </c>
      <c r="J47" s="479">
        <v>20000</v>
      </c>
      <c r="K47" s="479"/>
      <c r="L47" s="476">
        <v>9000</v>
      </c>
      <c r="M47" s="476"/>
      <c r="N47" s="319">
        <f t="shared" ref="N47:N50" si="26">ROUND(G47*0.05,0)</f>
        <v>10000</v>
      </c>
      <c r="O47" s="317"/>
      <c r="P47" s="473" t="s">
        <v>301</v>
      </c>
      <c r="Q47" s="474"/>
      <c r="R47" s="474"/>
      <c r="S47" s="474"/>
      <c r="T47" s="474"/>
      <c r="U47" s="474"/>
      <c r="V47" s="475"/>
    </row>
    <row r="48" spans="1:22" ht="24" customHeight="1">
      <c r="B48" s="462"/>
      <c r="C48" s="468"/>
      <c r="D48" s="2">
        <v>3</v>
      </c>
      <c r="E48" s="325">
        <f t="shared" si="25"/>
        <v>146973</v>
      </c>
      <c r="F48" s="2" t="s">
        <v>86</v>
      </c>
      <c r="G48" s="477">
        <v>110000</v>
      </c>
      <c r="H48" s="478"/>
      <c r="I48" s="318">
        <v>2473</v>
      </c>
      <c r="J48" s="479">
        <v>20000</v>
      </c>
      <c r="K48" s="479"/>
      <c r="L48" s="476">
        <v>9000</v>
      </c>
      <c r="M48" s="476"/>
      <c r="N48" s="319">
        <f t="shared" si="26"/>
        <v>5500</v>
      </c>
      <c r="O48" s="317"/>
      <c r="P48" s="473" t="s">
        <v>302</v>
      </c>
      <c r="Q48" s="474"/>
      <c r="R48" s="474"/>
      <c r="S48" s="474"/>
      <c r="T48" s="474"/>
      <c r="U48" s="474"/>
      <c r="V48" s="475"/>
    </row>
    <row r="49" spans="2:22" ht="24" customHeight="1">
      <c r="B49" s="462"/>
      <c r="C49" s="468"/>
      <c r="D49" s="2">
        <v>4</v>
      </c>
      <c r="E49" s="325">
        <f t="shared" si="25"/>
        <v>0</v>
      </c>
      <c r="F49" s="2"/>
      <c r="G49" s="477"/>
      <c r="H49" s="478"/>
      <c r="I49" s="318"/>
      <c r="J49" s="479"/>
      <c r="K49" s="479"/>
      <c r="L49" s="476"/>
      <c r="M49" s="476"/>
      <c r="N49" s="319">
        <f t="shared" si="26"/>
        <v>0</v>
      </c>
      <c r="O49" s="317"/>
      <c r="P49" s="473"/>
      <c r="Q49" s="474"/>
      <c r="R49" s="474"/>
      <c r="S49" s="474"/>
      <c r="T49" s="474"/>
      <c r="U49" s="474"/>
      <c r="V49" s="475"/>
    </row>
    <row r="50" spans="2:22" ht="24" customHeight="1">
      <c r="B50" s="462"/>
      <c r="C50" s="469"/>
      <c r="D50" s="2">
        <v>5</v>
      </c>
      <c r="E50" s="325">
        <f t="shared" si="25"/>
        <v>0</v>
      </c>
      <c r="F50" s="2"/>
      <c r="G50" s="477"/>
      <c r="H50" s="478"/>
      <c r="I50" s="318"/>
      <c r="J50" s="479"/>
      <c r="K50" s="479"/>
      <c r="L50" s="476"/>
      <c r="M50" s="476"/>
      <c r="N50" s="319">
        <f t="shared" si="26"/>
        <v>0</v>
      </c>
      <c r="O50" s="317"/>
      <c r="P50" s="473" t="s">
        <v>294</v>
      </c>
      <c r="Q50" s="474"/>
      <c r="R50" s="474"/>
      <c r="S50" s="474"/>
      <c r="T50" s="474"/>
      <c r="U50" s="474"/>
      <c r="V50" s="475"/>
    </row>
    <row r="51" spans="2:22" ht="17.100000000000001" customHeight="1"/>
  </sheetData>
  <mergeCells count="31"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入力方法</vt:lpstr>
      <vt:lpstr>従事者明細</vt:lpstr>
      <vt:lpstr> 表紙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表紙'!Print_Area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2015-08-21T07:45:36Z</cp:lastPrinted>
  <dcterms:created xsi:type="dcterms:W3CDTF">2013-03-18T00:38:39Z</dcterms:created>
  <dcterms:modified xsi:type="dcterms:W3CDTF">2015-09-09T01:29:39Z</dcterms:modified>
</cp:coreProperties>
</file>