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1715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  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  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O21" i="3" l="1"/>
  <c r="K21" i="3"/>
  <c r="Q21" i="3" s="1"/>
  <c r="G21" i="3"/>
  <c r="C21" i="3"/>
  <c r="B21" i="3"/>
  <c r="O19" i="3"/>
  <c r="K19" i="3"/>
  <c r="N19" i="3" s="1"/>
  <c r="G19" i="3"/>
  <c r="C19" i="3"/>
  <c r="B19" i="3"/>
  <c r="O14" i="3"/>
  <c r="K14" i="3"/>
  <c r="Q14" i="3" s="1"/>
  <c r="G14" i="3"/>
  <c r="E14" i="3"/>
  <c r="C14" i="3"/>
  <c r="B14" i="3"/>
  <c r="O13" i="3"/>
  <c r="T13" i="3" s="1"/>
  <c r="K13" i="3"/>
  <c r="N13" i="3" s="1"/>
  <c r="G13" i="3"/>
  <c r="C13" i="3"/>
  <c r="B13" i="3"/>
  <c r="V13" i="3" l="1"/>
  <c r="T21" i="3"/>
  <c r="N21" i="3"/>
  <c r="N14" i="3"/>
  <c r="T14" i="3"/>
  <c r="V21" i="3"/>
  <c r="Q19" i="3"/>
  <c r="T19" i="3" s="1"/>
  <c r="V19" i="3" s="1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I8" i="12"/>
  <c r="H8" i="12"/>
  <c r="G8" i="12"/>
  <c r="F8" i="12"/>
  <c r="E8" i="12"/>
  <c r="D8" i="12"/>
  <c r="C8" i="12"/>
  <c r="B8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8" i="3"/>
  <c r="G17" i="3"/>
  <c r="G16" i="3"/>
  <c r="G15" i="3"/>
  <c r="G12" i="3"/>
  <c r="G11" i="3"/>
  <c r="G10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0" i="3"/>
  <c r="B20" i="3"/>
  <c r="C18" i="3"/>
  <c r="B18" i="3"/>
  <c r="C17" i="3"/>
  <c r="B17" i="3"/>
  <c r="C16" i="3"/>
  <c r="B16" i="3"/>
  <c r="C15" i="3"/>
  <c r="B15" i="3"/>
  <c r="C12" i="3"/>
  <c r="B12" i="3"/>
  <c r="C11" i="3"/>
  <c r="B11" i="3"/>
  <c r="C10" i="3"/>
  <c r="B10" i="3"/>
  <c r="G9" i="3"/>
  <c r="C9" i="3"/>
  <c r="B9" i="3"/>
  <c r="V14" i="3" l="1"/>
  <c r="F13" i="16"/>
  <c r="G13" i="16"/>
  <c r="E13" i="16"/>
  <c r="N51" i="3" l="1"/>
  <c r="N50" i="3"/>
  <c r="N49" i="3"/>
  <c r="N48" i="3"/>
  <c r="N47" i="3"/>
  <c r="N46" i="3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/>
  <c r="E60" i="6"/>
  <c r="E59" i="6"/>
  <c r="E58" i="6"/>
  <c r="E57" i="6"/>
  <c r="E56" i="6"/>
  <c r="E55" i="6"/>
  <c r="E54" i="6"/>
  <c r="E26" i="6"/>
  <c r="E25" i="6"/>
  <c r="E24" i="6"/>
  <c r="E23" i="6"/>
  <c r="E22" i="6"/>
  <c r="E21" i="6"/>
  <c r="E20" i="6"/>
  <c r="E19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 l="1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G55" i="6" l="1"/>
  <c r="G56" i="6"/>
  <c r="G57" i="6"/>
  <c r="G58" i="6"/>
  <c r="G59" i="6"/>
  <c r="G60" i="6"/>
  <c r="J5" i="11"/>
  <c r="F47" i="6"/>
  <c r="J6" i="11"/>
  <c r="F48" i="6"/>
  <c r="J7" i="11"/>
  <c r="F49" i="6"/>
  <c r="J8" i="11"/>
  <c r="F50" i="6"/>
  <c r="J10" i="11"/>
  <c r="F51" i="6"/>
  <c r="J11" i="11"/>
  <c r="F52" i="6"/>
  <c r="J12" i="11"/>
  <c r="F53" i="6"/>
  <c r="G54" i="6"/>
  <c r="G61" i="6"/>
  <c r="F12" i="6"/>
  <c r="F13" i="6"/>
  <c r="F14" i="6"/>
  <c r="F15" i="6"/>
  <c r="F16" i="6"/>
  <c r="F17" i="6"/>
  <c r="F18" i="6"/>
  <c r="G19" i="6"/>
  <c r="G20" i="6"/>
  <c r="G21" i="6"/>
  <c r="G22" i="6"/>
  <c r="G23" i="6"/>
  <c r="G24" i="6"/>
  <c r="G25" i="6"/>
  <c r="G26" i="6"/>
  <c r="G66" i="6"/>
  <c r="G30" i="6"/>
  <c r="G67" i="6"/>
  <c r="G31" i="6"/>
  <c r="G68" i="6"/>
  <c r="G32" i="6"/>
  <c r="G69" i="6"/>
  <c r="G33" i="6"/>
  <c r="G72" i="6"/>
  <c r="G36" i="6"/>
  <c r="G73" i="6"/>
  <c r="G37" i="6"/>
  <c r="G74" i="6"/>
  <c r="G38" i="6"/>
  <c r="G77" i="6"/>
  <c r="G41" i="6"/>
  <c r="G78" i="6"/>
  <c r="G42" i="6"/>
  <c r="G79" i="6"/>
  <c r="G43" i="6"/>
  <c r="O20" i="3"/>
  <c r="T20" i="3" s="1"/>
  <c r="K20" i="3"/>
  <c r="N20" i="3" s="1"/>
  <c r="K9" i="3"/>
  <c r="N9" i="3" s="1"/>
  <c r="O9" i="3"/>
  <c r="K10" i="3"/>
  <c r="N10" i="3" s="1"/>
  <c r="O10" i="3"/>
  <c r="K11" i="3"/>
  <c r="N11" i="3" s="1"/>
  <c r="O11" i="3"/>
  <c r="K12" i="3"/>
  <c r="N12" i="3" s="1"/>
  <c r="O12" i="3"/>
  <c r="K15" i="3"/>
  <c r="N15" i="3" s="1"/>
  <c r="O15" i="3"/>
  <c r="K16" i="3"/>
  <c r="N16" i="3" s="1"/>
  <c r="O16" i="3"/>
  <c r="K17" i="3"/>
  <c r="N17" i="3" s="1"/>
  <c r="O17" i="3"/>
  <c r="K18" i="3"/>
  <c r="N18" i="3" s="1"/>
  <c r="O18" i="3"/>
  <c r="K22" i="3"/>
  <c r="N22" i="3" s="1"/>
  <c r="O22" i="3"/>
  <c r="K23" i="3"/>
  <c r="N23" i="3" s="1"/>
  <c r="O23" i="3"/>
  <c r="K24" i="3"/>
  <c r="N24" i="3" s="1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E47" i="3"/>
  <c r="E48" i="3"/>
  <c r="E46" i="3"/>
  <c r="E51" i="3"/>
  <c r="E20" i="3" s="1"/>
  <c r="E49" i="3"/>
  <c r="E50" i="3"/>
  <c r="J9" i="11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K26" i="3"/>
  <c r="Q26" i="3" s="1"/>
  <c r="T26" i="3" s="1"/>
  <c r="K27" i="3"/>
  <c r="K28" i="3"/>
  <c r="Q28" i="3" s="1"/>
  <c r="T28" i="3" s="1"/>
  <c r="K29" i="3"/>
  <c r="K30" i="3"/>
  <c r="Q30" i="3" s="1"/>
  <c r="T30" i="3" s="1"/>
  <c r="K31" i="3"/>
  <c r="K32" i="3"/>
  <c r="K33" i="3"/>
  <c r="Q33" i="3" s="1"/>
  <c r="T33" i="3" s="1"/>
  <c r="K34" i="3"/>
  <c r="K35" i="3"/>
  <c r="Q35" i="3" s="1"/>
  <c r="T35" i="3" s="1"/>
  <c r="K36" i="3"/>
  <c r="K37" i="3"/>
  <c r="K38" i="3"/>
  <c r="Q38" i="3" s="1"/>
  <c r="T38" i="3" s="1"/>
  <c r="K39" i="3"/>
  <c r="K40" i="3"/>
  <c r="Q40" i="3" s="1"/>
  <c r="T40" i="3" s="1"/>
  <c r="H13" i="16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G19" i="21"/>
  <c r="G20" i="21" s="1"/>
  <c r="G21" i="21" s="1"/>
  <c r="E16" i="21" s="1"/>
  <c r="H19" i="16"/>
  <c r="H18" i="16"/>
  <c r="H17" i="16"/>
  <c r="H16" i="16"/>
  <c r="H14" i="16"/>
  <c r="H12" i="16"/>
  <c r="H11" i="16"/>
  <c r="H10" i="16"/>
  <c r="G9" i="16"/>
  <c r="F9" i="16"/>
  <c r="F20" i="16" s="1"/>
  <c r="E9" i="16"/>
  <c r="E20" i="16"/>
  <c r="E21" i="16" s="1"/>
  <c r="G20" i="16"/>
  <c r="G21" i="16" s="1"/>
  <c r="G22" i="16" s="1"/>
  <c r="K41" i="3"/>
  <c r="Q41" i="3" s="1"/>
  <c r="T41" i="3" s="1"/>
  <c r="G18" i="21"/>
  <c r="G12" i="21"/>
  <c r="G11" i="21"/>
  <c r="G10" i="21"/>
  <c r="G9" i="21"/>
  <c r="N33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A1" i="1"/>
  <c r="B11" i="1"/>
  <c r="F36" i="4"/>
  <c r="F35" i="4"/>
  <c r="F34" i="4"/>
  <c r="F28" i="4"/>
  <c r="F27" i="4"/>
  <c r="F29" i="4" s="1"/>
  <c r="F30" i="4" s="1"/>
  <c r="D24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5" i="10" s="1"/>
  <c r="E20" i="10"/>
  <c r="E18" i="10"/>
  <c r="E17" i="10"/>
  <c r="E16" i="10"/>
  <c r="E15" i="10"/>
  <c r="E14" i="10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0" i="8"/>
  <c r="F19" i="8"/>
  <c r="F21" i="8" s="1"/>
  <c r="C16" i="8" s="1"/>
  <c r="F13" i="4" s="1"/>
  <c r="F16" i="4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E33" i="10"/>
  <c r="F29" i="8"/>
  <c r="C24" i="8" s="1"/>
  <c r="F17" i="4" s="1"/>
  <c r="F20" i="4" s="1"/>
  <c r="F37" i="4"/>
  <c r="F38" i="4" s="1"/>
  <c r="D32" i="4" s="1"/>
  <c r="E19" i="10"/>
  <c r="V20" i="3" l="1"/>
  <c r="N38" i="3"/>
  <c r="Q10" i="3"/>
  <c r="T10" i="3" s="1"/>
  <c r="N35" i="3"/>
  <c r="Q9" i="3"/>
  <c r="T9" i="3" s="1"/>
  <c r="V9" i="3" s="1"/>
  <c r="E19" i="3"/>
  <c r="E12" i="3"/>
  <c r="E11" i="3"/>
  <c r="E22" i="3"/>
  <c r="E23" i="3"/>
  <c r="E10" i="3"/>
  <c r="E9" i="3"/>
  <c r="N41" i="3"/>
  <c r="E17" i="3"/>
  <c r="E16" i="3"/>
  <c r="E24" i="3"/>
  <c r="E18" i="3"/>
  <c r="E15" i="3"/>
  <c r="Q24" i="3"/>
  <c r="T24" i="3" s="1"/>
  <c r="V24" i="3" s="1"/>
  <c r="Q23" i="3"/>
  <c r="T23" i="3" s="1"/>
  <c r="V23" i="3" s="1"/>
  <c r="Q22" i="3"/>
  <c r="T22" i="3" s="1"/>
  <c r="V22" i="3" s="1"/>
  <c r="Q18" i="3"/>
  <c r="T18" i="3" s="1"/>
  <c r="Q17" i="3"/>
  <c r="Q16" i="3"/>
  <c r="T16" i="3" s="1"/>
  <c r="V16" i="3" s="1"/>
  <c r="Q15" i="3"/>
  <c r="T15" i="3" s="1"/>
  <c r="V15" i="3" s="1"/>
  <c r="Q12" i="3"/>
  <c r="T12" i="3" s="1"/>
  <c r="V12" i="3" s="1"/>
  <c r="Q11" i="3"/>
  <c r="T11" i="3" s="1"/>
  <c r="V11" i="3" s="1"/>
  <c r="E13" i="3"/>
  <c r="E21" i="3"/>
  <c r="F62" i="6"/>
  <c r="H78" i="6"/>
  <c r="H74" i="6"/>
  <c r="H73" i="6"/>
  <c r="F21" i="4"/>
  <c r="F22" i="4" s="1"/>
  <c r="D7" i="4" s="1"/>
  <c r="F40" i="4" s="1"/>
  <c r="E5" i="4" s="1"/>
  <c r="G20" i="1" s="1"/>
  <c r="Q36" i="3"/>
  <c r="T36" i="3" s="1"/>
  <c r="N36" i="3"/>
  <c r="Q34" i="3"/>
  <c r="T34" i="3" s="1"/>
  <c r="N34" i="3"/>
  <c r="Q32" i="3"/>
  <c r="T32" i="3" s="1"/>
  <c r="N32" i="3"/>
  <c r="F27" i="6"/>
  <c r="E51" i="6"/>
  <c r="G51" i="6" s="1"/>
  <c r="G71" i="6" s="1"/>
  <c r="E16" i="6"/>
  <c r="G16" i="6" s="1"/>
  <c r="G35" i="6" s="1"/>
  <c r="E47" i="6"/>
  <c r="G47" i="6" s="1"/>
  <c r="E12" i="6"/>
  <c r="G12" i="6" s="1"/>
  <c r="N40" i="3"/>
  <c r="N26" i="3"/>
  <c r="N28" i="3"/>
  <c r="N30" i="3"/>
  <c r="Q39" i="3"/>
  <c r="T39" i="3" s="1"/>
  <c r="N39" i="3"/>
  <c r="Q37" i="3"/>
  <c r="T37" i="3" s="1"/>
  <c r="N37" i="3"/>
  <c r="Q31" i="3"/>
  <c r="T31" i="3" s="1"/>
  <c r="N31" i="3"/>
  <c r="Q29" i="3"/>
  <c r="T29" i="3" s="1"/>
  <c r="N29" i="3"/>
  <c r="Q27" i="3"/>
  <c r="T27" i="3" s="1"/>
  <c r="N27" i="3"/>
  <c r="Q25" i="3"/>
  <c r="T25" i="3" s="1"/>
  <c r="N25" i="3"/>
  <c r="V18" i="3"/>
  <c r="V10" i="3"/>
  <c r="E53" i="6"/>
  <c r="G53" i="6" s="1"/>
  <c r="E18" i="6"/>
  <c r="G18" i="6" s="1"/>
  <c r="E49" i="6"/>
  <c r="G49" i="6" s="1"/>
  <c r="E14" i="6"/>
  <c r="G14" i="6" s="1"/>
  <c r="H9" i="16"/>
  <c r="E17" i="6"/>
  <c r="G17" i="6" s="1"/>
  <c r="G40" i="6" s="1"/>
  <c r="E52" i="6"/>
  <c r="G52" i="6" s="1"/>
  <c r="E15" i="6"/>
  <c r="G15" i="6" s="1"/>
  <c r="E50" i="6"/>
  <c r="G50" i="6" s="1"/>
  <c r="E13" i="6"/>
  <c r="G13" i="6" s="1"/>
  <c r="E48" i="6"/>
  <c r="G48" i="6" s="1"/>
  <c r="H20" i="16"/>
  <c r="F21" i="16"/>
  <c r="F22" i="16" s="1"/>
  <c r="E22" i="16"/>
  <c r="H21" i="16"/>
  <c r="G13" i="21"/>
  <c r="G14" i="21" s="1"/>
  <c r="E6" i="21" s="1"/>
  <c r="E4" i="21" s="1"/>
  <c r="G25" i="1" s="1"/>
  <c r="H79" i="6"/>
  <c r="H68" i="6"/>
  <c r="H66" i="6"/>
  <c r="H72" i="6"/>
  <c r="H77" i="6"/>
  <c r="H69" i="6"/>
  <c r="H67" i="6"/>
  <c r="G76" i="6" l="1"/>
  <c r="H76" i="6" s="1"/>
  <c r="M16" i="6" s="1"/>
  <c r="O16" i="6" s="1"/>
  <c r="Q16" i="6" s="1"/>
  <c r="V17" i="3"/>
  <c r="T17" i="3"/>
  <c r="G75" i="6"/>
  <c r="G39" i="6"/>
  <c r="G70" i="6"/>
  <c r="F83" i="6"/>
  <c r="G34" i="6"/>
  <c r="G29" i="6"/>
  <c r="H71" i="6"/>
  <c r="M14" i="6" s="1"/>
  <c r="O14" i="6" s="1"/>
  <c r="Q14" i="6" s="1"/>
  <c r="G27" i="6"/>
  <c r="V42" i="3"/>
  <c r="V43" i="3" s="1"/>
  <c r="F6" i="3" s="1"/>
  <c r="G23" i="1" s="1"/>
  <c r="G65" i="6"/>
  <c r="G62" i="6"/>
  <c r="H22" i="16"/>
  <c r="E42" i="3"/>
  <c r="E43" i="3" s="1"/>
  <c r="F4" i="3" s="1"/>
  <c r="G22" i="1" s="1"/>
  <c r="H75" i="6" l="1"/>
  <c r="M15" i="6" s="1"/>
  <c r="O15" i="6" s="1"/>
  <c r="Q15" i="6" s="1"/>
  <c r="G80" i="6"/>
  <c r="G21" i="1"/>
  <c r="G19" i="1" s="1"/>
  <c r="H70" i="6"/>
  <c r="M13" i="6" s="1"/>
  <c r="O13" i="6" s="1"/>
  <c r="G44" i="6"/>
  <c r="G83" i="6"/>
  <c r="G84" i="6" s="1"/>
  <c r="E8" i="6" s="1"/>
  <c r="G16" i="1" s="1"/>
  <c r="H65" i="6"/>
  <c r="B27" i="21"/>
  <c r="G27" i="21" s="1"/>
  <c r="G28" i="21" s="1"/>
  <c r="E23" i="21" s="1"/>
  <c r="G28" i="1" s="1"/>
  <c r="E3" i="4"/>
  <c r="C27" i="21"/>
  <c r="Q13" i="6" l="1"/>
  <c r="M12" i="6"/>
  <c r="H80" i="6"/>
  <c r="M27" i="6" l="1"/>
  <c r="M28" i="6" s="1"/>
  <c r="O12" i="6"/>
  <c r="O27" i="6" s="1"/>
  <c r="O28" i="6" s="1"/>
  <c r="M6" i="6" s="1"/>
  <c r="G17" i="1" s="1"/>
  <c r="Q12" i="6" l="1"/>
  <c r="Q27" i="6" s="1"/>
  <c r="Q28" i="6" s="1"/>
  <c r="M8" i="6" s="1"/>
  <c r="G18" i="1" s="1"/>
  <c r="G15" i="1" s="1"/>
  <c r="G29" i="1" s="1"/>
  <c r="E6" i="6" l="1"/>
  <c r="G30" i="1"/>
  <c r="H30" i="20" s="1"/>
  <c r="G31" i="1" l="1"/>
  <c r="C30" i="20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<sst xmlns="http://schemas.openxmlformats.org/spreadsheetml/2006/main" count="775" uniqueCount="389">
  <si>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</si>
  <si>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</si>
  <si>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</si>
  <si>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</si>
  <si>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</si>
  <si>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</si>
  <si>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</si>
  <si>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</si>
  <si>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</si>
  <si>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</si>
  <si>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</si>
  <si>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</si>
  <si>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</si>
  <si>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</si>
  <si>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</si>
  <si>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</si>
  <si>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</si>
  <si>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</si>
  <si>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</si>
  <si>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</si>
  <si>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</si>
  <si>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</si>
  <si>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</si>
  <si>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</si>
  <si>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</si>
  <si>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</si>
  <si>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</si>
  <si>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</si>
  <si>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</si>
  <si>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</si>
  <si>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</si>
  <si>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</si>
  <si>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</si>
  <si>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</si>
  <si>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</si>
  <si>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</si>
  <si>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</si>
  <si>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</si>
  <si>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</si>
  <si>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</si>
  <si>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</si>
  <si>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</si>
  <si>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</si>
  <si>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</si>
  <si>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</si>
  <si>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</si>
  <si>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</si>
  <si>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</si>
  <si>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</si>
  <si>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</si>
  <si>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</si>
  <si>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</si>
  <si>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</si>
  <si>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</si>
  <si>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</si>
  <si>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</si>
  <si>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</si>
  <si>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</si>
  <si>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</si>
  <si>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</si>
  <si>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</si>
  <si>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</si>
  <si>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</si>
  <si>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</si>
  <si>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</si>
  <si>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</si>
  <si>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</si>
  <si>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</si>
  <si>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</si>
  <si>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</si>
  <si>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</si>
  <si>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</si>
  <si>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</si>
  <si>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</si>
  <si>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</si>
  <si>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</si>
  <si>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</si>
  <si>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</si>
  <si>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</si>
  <si>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</si>
  <si>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</si>
  <si>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</si>
  <si>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</si>
  <si>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</si>
  <si>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</si>
  <si>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</si>
  <si>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</si>
  <si>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</si>
  <si>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</si>
  <si>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</si>
  <si>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</si>
  <si>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</si>
  <si>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</si>
  <si>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</si>
  <si>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</si>
  <si>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</si>
  <si>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</si>
  <si>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</si>
  <si>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</si>
  <si>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</si>
  <si>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</si>
  <si>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</si>
  <si>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</si>
  <si>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</si>
  <si>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</si>
  <si>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</si>
  <si>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</si>
  <si>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</si>
  <si>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</si>
  <si>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</si>
  <si>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</si>
  <si>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</si>
  <si>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</si>
  <si>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</si>
  <si>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</si>
  <si>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</si>
  <si>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</si>
  <si>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</si>
  <si>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</si>
  <si>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</si>
  <si>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</si>
  <si>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</si>
  <si>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</si>
  <si>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</si>
  <si>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</si>
  <si>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</si>
  <si>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</si>
  <si>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</si>
  <si>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</si>
  <si>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</si>
  <si>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</si>
  <si>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</si>
  <si>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</si>
  <si>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</si>
  <si>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</si>
  <si>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</si>
  <si>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</si>
  <si>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</si>
  <si>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</si>
  <si>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</si>
  <si>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</si>
  <si>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</si>
  <si>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</si>
  <si>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</si>
  <si>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</si>
  <si>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</si>
  <si>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</si>
  <si>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</si>
  <si>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</si>
  <si>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</si>
  <si>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</si>
  <si>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</si>
  <si>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</si>
  <si>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</si>
  <si>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</si>
  <si>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</si>
  <si>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</si>
  <si>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</si>
  <si>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</si>
  <si>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</si>
  <si>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</si>
  <si>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</si>
  <si>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</si>
  <si>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</si>
  <si>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</si>
  <si>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</si>
  <si>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</si>
  <si>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</si>
  <si>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</si>
  <si>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</si>
  <si>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</si>
  <si>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</si>
  <si>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</si>
  <si>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</si>
  <si>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</si>
  <si>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</si>
  <si>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</si>
  <si>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</si>
  <si>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</si>
  <si>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</si>
  <si>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</si>
  <si>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</si>
  <si>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</si>
  <si>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</si>
  <si>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</si>
  <si>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</si>
  <si>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</si>
  <si>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</si>
  <si>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</si>
  <si>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</si>
  <si>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</si>
  <si>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</si>
  <si>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</si>
  <si>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</si>
  <si>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</si>
  <si>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</si>
  <si>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</si>
  <si>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</si>
  <si>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</si>
  <si>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</si>
  <si>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</si>
  <si>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</si>
  <si>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</si>
  <si>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</si>
  <si>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</si>
  <si>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</si>
  <si>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</si>
  <si>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</si>
  <si>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</si>
  <si>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</si>
  <si>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</si>
  <si>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</si>
  <si>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</si>
  <si>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</si>
  <si>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</si>
  <si>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</si>
  <si>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</si>
  <si>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</si>
  <si>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</si>
  <si>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</si>
  <si>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</si>
  <si>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</si>
  <si>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</si>
  <si>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</si>
  <si>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</si>
  <si>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</si>
  <si>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</si>
  <si>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</si>
  <si>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</si>
  <si>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</si>
  <si>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</si>
  <si>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</si>
  <si>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</si>
  <si>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</si>
  <si>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</si>
  <si>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</si>
  <si>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</si>
  <si>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</si>
  <si>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</si>
  <si>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</si>
  <si>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</si>
  <si>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</si>
  <si>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</si>
  <si>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</si>
  <si>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</si>
  <si>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</si>
  <si>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</si>
  <si>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</si>
  <si>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</si>
  <si>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</si>
  <si>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</si>
  <si>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</si>
  <si>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</si>
  <si>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</si>
  <si>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</si>
  <si>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</si>
  <si>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</si>
  <si>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</si>
  <si>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</si>
  <si>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</si>
  <si>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</si>
  <si>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</si>
  <si>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</si>
  <si>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開発途上国の社会・経済開発のための民間技術普及促進事業</t>
  </si>
  <si>
    <t>Z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</si>
  <si>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</si>
  <si>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</si>
  <si>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</si>
  <si>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</si>
  <si>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</si>
  <si>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</si>
  <si>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</si>
  <si>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</si>
  <si>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</si>
  <si>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</si>
  <si>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</si>
  <si>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</si>
  <si>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</si>
  <si>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</si>
  <si>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</si>
  <si>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</si>
  <si>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</si>
  <si>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</si>
  <si>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</si>
  <si>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A-1</t>
  </si>
  <si>
    <t>B-1</t>
  </si>
  <si>
    <t>B-2</t>
  </si>
  <si>
    <t>B-3</t>
  </si>
  <si>
    <t>C-1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</si>
  <si>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</si>
  <si>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</si>
  <si>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</si>
  <si>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</si>
  <si>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</si>
  <si>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</si>
  <si>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</si>
  <si>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</si>
  <si>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</si>
  <si>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</si>
  <si>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業務主任/事業計画策定</t>
    <rPh sb="0" eb="2">
      <t>ギョウム</t>
    </rPh>
    <rPh sb="2" eb="4">
      <t>シュニン</t>
    </rPh>
    <rPh sb="5" eb="7">
      <t>ジギョウ</t>
    </rPh>
    <rPh sb="7" eb="9">
      <t>ケイカク</t>
    </rPh>
    <rPh sb="9" eb="11">
      <t>サクテイ</t>
    </rPh>
    <phoneticPr fontId="2"/>
  </si>
  <si>
    <t>チーフアドバイザー/開発課題2/市場調査</t>
    <rPh sb="10" eb="12">
      <t>カイハツ</t>
    </rPh>
    <rPh sb="12" eb="14">
      <t>カダイ</t>
    </rPh>
    <rPh sb="16" eb="18">
      <t>シジョウ</t>
    </rPh>
    <rPh sb="18" eb="20">
      <t>チョウサ</t>
    </rPh>
    <phoneticPr fontId="2"/>
  </si>
  <si>
    <t>パートナー連携</t>
    <rPh sb="5" eb="7">
      <t>レンケイ</t>
    </rPh>
    <phoneticPr fontId="2"/>
  </si>
  <si>
    <t>環境社会配慮調査</t>
    <rPh sb="0" eb="2">
      <t>カンキョウ</t>
    </rPh>
    <phoneticPr fontId="2"/>
  </si>
  <si>
    <t>法制度調査</t>
    <rPh sb="0" eb="1">
      <t>ホウ</t>
    </rPh>
    <rPh sb="1" eb="3">
      <t>セイド</t>
    </rPh>
    <rPh sb="3" eb="5">
      <t>チョウサ</t>
    </rPh>
    <phoneticPr fontId="2"/>
  </si>
  <si>
    <t>事業化調査/操作指導</t>
    <rPh sb="0" eb="3">
      <t>ジギョウカ</t>
    </rPh>
    <rPh sb="3" eb="5">
      <t>チョウサ</t>
    </rPh>
    <rPh sb="6" eb="8">
      <t>ソウサ</t>
    </rPh>
    <rPh sb="8" eb="10">
      <t>シドウ</t>
    </rPh>
    <phoneticPr fontId="2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</si>
  <si>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</si>
  <si>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19**年3月
19**年9月</t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</si>
  <si>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</si>
  <si>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200*年3月</t>
    <rPh sb="4" eb="5">
      <t>ネン</t>
    </rPh>
    <rPh sb="6" eb="7">
      <t>ガツ</t>
    </rPh>
    <phoneticPr fontId="5"/>
  </si>
  <si>
    <t xml:space="preserve"> ○○○○○大学卒</t>
  </si>
  <si>
    <t>19**年3月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</si>
  <si>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2"/>
  </si>
  <si>
    <t>20**年3月</t>
    <rPh sb="4" eb="5">
      <t>ネン</t>
    </rPh>
    <rPh sb="6" eb="7">
      <t>ガツ</t>
    </rPh>
    <phoneticPr fontId="2"/>
  </si>
  <si>
    <t>輸送費一式</t>
    <rPh sb="0" eb="3">
      <t>ユソウヒ</t>
    </rPh>
    <rPh sb="3" eb="5">
      <t>イッシキ</t>
    </rPh>
    <phoneticPr fontId="2"/>
  </si>
  <si>
    <t>輸送費、通関手数料、海上保険料込</t>
    <rPh sb="0" eb="3">
      <t>ユソウヒ</t>
    </rPh>
    <rPh sb="4" eb="6">
      <t>ツウカン</t>
    </rPh>
    <rPh sb="6" eb="8">
      <t>テスウ</t>
    </rPh>
    <rPh sb="8" eb="9">
      <t>リョウ</t>
    </rPh>
    <rPh sb="10" eb="12">
      <t>カイジョウ</t>
    </rPh>
    <rPh sb="12" eb="14">
      <t>ホケン</t>
    </rPh>
    <rPh sb="14" eb="15">
      <t>リョウ</t>
    </rPh>
    <rPh sb="15" eb="16">
      <t>コミ</t>
    </rPh>
    <phoneticPr fontId="2"/>
  </si>
  <si>
    <t>関税</t>
    <rPh sb="0" eb="2">
      <t>カンゼイ</t>
    </rPh>
    <phoneticPr fontId="2"/>
  </si>
  <si>
    <t>VAT</t>
    <phoneticPr fontId="2"/>
  </si>
  <si>
    <t>CIF価格の○％</t>
    <rPh sb="3" eb="5">
      <t>カカク</t>
    </rPh>
    <phoneticPr fontId="2"/>
  </si>
  <si>
    <t>CIF価格の△％</t>
    <rPh sb="3" eb="5">
      <t>カカク</t>
    </rPh>
    <phoneticPr fontId="2"/>
  </si>
  <si>
    <t>Y</t>
  </si>
  <si>
    <t>C</t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</si>
  <si>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2"/>
  </si>
  <si>
    <t>成田→○○→成田</t>
    <rPh sb="0" eb="2">
      <t>ナリタ</t>
    </rPh>
    <rPh sb="6" eb="8">
      <t>ナリタ</t>
    </rPh>
    <phoneticPr fontId="2"/>
  </si>
  <si>
    <t>関空→○○→関空</t>
    <rPh sb="0" eb="2">
      <t>カンクウ</t>
    </rPh>
    <rPh sb="6" eb="8">
      <t>カンクウ</t>
    </rPh>
    <phoneticPr fontId="2"/>
  </si>
  <si>
    <t>羽田→○○→成田</t>
    <rPh sb="0" eb="2">
      <t>ハネダ</t>
    </rPh>
    <rPh sb="6" eb="8">
      <t>ナリタ</t>
    </rPh>
    <phoneticPr fontId="2"/>
  </si>
  <si>
    <t>羽田→○○→羽田</t>
    <rPh sb="0" eb="2">
      <t>ハネダ</t>
    </rPh>
    <rPh sb="6" eb="8">
      <t>ハネダ</t>
    </rPh>
    <phoneticPr fontId="2"/>
  </si>
  <si>
    <t>現地国内移動（ホーチミン↔ハノイ）</t>
    <rPh sb="0" eb="2">
      <t>ゲンチ</t>
    </rPh>
    <rPh sb="2" eb="3">
      <t>クニ</t>
    </rPh>
    <rPh sb="3" eb="4">
      <t>ナイ</t>
    </rPh>
    <rPh sb="4" eb="6">
      <t>イドウ</t>
    </rPh>
    <phoneticPr fontId="2"/>
  </si>
  <si>
    <t>車両借り上げ</t>
    <rPh sb="0" eb="3">
      <t>シャリョウカ</t>
    </rPh>
    <rPh sb="4" eb="5">
      <t>ア</t>
    </rPh>
    <phoneticPr fontId="2"/>
  </si>
  <si>
    <t>単価：US$50X@100.00</t>
    <rPh sb="0" eb="2">
      <t>タンカ</t>
    </rPh>
    <phoneticPr fontId="2"/>
  </si>
  <si>
    <t>1渡航2台 1渡航1台</t>
    <rPh sb="1" eb="3">
      <t>トコウ</t>
    </rPh>
    <rPh sb="4" eb="5">
      <t>ダイ</t>
    </rPh>
    <phoneticPr fontId="2"/>
  </si>
  <si>
    <t>通訳</t>
    <rPh sb="0" eb="2">
      <t>ツウヤク</t>
    </rPh>
    <phoneticPr fontId="2"/>
  </si>
  <si>
    <t>翻訳</t>
    <rPh sb="0" eb="2">
      <t>ホンヤク</t>
    </rPh>
    <phoneticPr fontId="2"/>
  </si>
  <si>
    <t>単価：US$60X@100.00</t>
    <rPh sb="0" eb="2">
      <t>タンカ</t>
    </rPh>
    <phoneticPr fontId="2"/>
  </si>
  <si>
    <t>1頁：VND3,000X@0.005</t>
    <rPh sb="1" eb="2">
      <t>ペイジ</t>
    </rPh>
    <phoneticPr fontId="2"/>
  </si>
  <si>
    <t>現地内移動費（航空賃）</t>
    <rPh sb="0" eb="2">
      <t>ゲンチ</t>
    </rPh>
    <rPh sb="2" eb="3">
      <t>ナイ</t>
    </rPh>
    <rPh sb="3" eb="5">
      <t>イドウ</t>
    </rPh>
    <rPh sb="5" eb="6">
      <t>ヒ</t>
    </rPh>
    <rPh sb="7" eb="9">
      <t>コウクウ</t>
    </rPh>
    <rPh sb="9" eb="10">
      <t>チン</t>
    </rPh>
    <phoneticPr fontId="2"/>
  </si>
  <si>
    <t>単価：US$500X@100.00</t>
    <rPh sb="0" eb="2">
      <t>タンカ</t>
    </rPh>
    <phoneticPr fontId="2"/>
  </si>
  <si>
    <t>ハノイ⇔ホーチミン往復</t>
    <rPh sb="9" eb="11">
      <t>オウフク</t>
    </rPh>
    <phoneticPr fontId="2"/>
  </si>
  <si>
    <t>○○調査</t>
    <rPh sb="2" eb="4">
      <t>チョウサ</t>
    </rPh>
    <phoneticPr fontId="2"/>
  </si>
  <si>
    <t>○○調査（◯ヶ月X◯検体）</t>
    <rPh sb="2" eb="4">
      <t>チョウサ</t>
    </rPh>
    <rPh sb="7" eb="8">
      <t>ゲツ</t>
    </rPh>
    <rPh sb="10" eb="12">
      <t>ケンタイ</t>
    </rPh>
    <phoneticPr fontId="2"/>
  </si>
  <si>
    <t>○○研修</t>
    <rPh sb="2" eb="4">
      <t>ケンシュウ</t>
    </rPh>
    <phoneticPr fontId="2"/>
  </si>
  <si>
    <t>○○機器</t>
    <rPh sb="2" eb="4">
      <t>キキ</t>
    </rPh>
    <phoneticPr fontId="2"/>
  </si>
  <si>
    <t>△装置</t>
    <rPh sb="1" eb="3">
      <t>ソウチ</t>
    </rPh>
    <phoneticPr fontId="2"/>
  </si>
  <si>
    <t>○○工事</t>
    <rPh sb="2" eb="4">
      <t>コウジ</t>
    </rPh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</si>
  <si>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</si>
  <si>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</si>
  <si>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</si>
  <si>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</si>
  <si>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システム設計</t>
    <rPh sb="4" eb="6">
      <t>セッケイ</t>
    </rPh>
    <phoneticPr fontId="2"/>
  </si>
  <si>
    <t>C-2</t>
  </si>
  <si>
    <t>海外市場調査</t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</si>
  <si>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</si>
  <si>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</si>
  <si>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</si>
  <si>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</si>
  <si>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</si>
  <si>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</si>
  <si>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</si>
  <si>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</si>
  <si>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</si>
  <si>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</si>
  <si>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</si>
  <si>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</si>
  <si>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t>４．</t>
    <phoneticPr fontId="2"/>
  </si>
  <si>
    <t>４．</t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</si>
  <si>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</si>
  <si>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</si>
  <si>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国◯　●男
（大阪）</t>
    <rPh sb="0" eb="1">
      <t>クニ</t>
    </rPh>
    <rPh sb="4" eb="5">
      <t>オトコ</t>
    </rPh>
    <rPh sb="7" eb="9">
      <t>オオサカ</t>
    </rPh>
    <phoneticPr fontId="2"/>
  </si>
  <si>
    <t>○○　一朗
（大阪）</t>
    <rPh sb="3" eb="5">
      <t>イチロウ</t>
    </rPh>
    <rPh sb="7" eb="9">
      <t>オオサカ</t>
    </rPh>
    <phoneticPr fontId="2"/>
  </si>
  <si>
    <t>◯△　太郎
（東京）</t>
    <rPh sb="3" eb="5">
      <t>タロウ</t>
    </rPh>
    <rPh sb="7" eb="9">
      <t>トウキョウ</t>
    </rPh>
    <phoneticPr fontId="2"/>
  </si>
  <si>
    <t>△△　◯子
（神奈川）</t>
    <rPh sb="4" eb="5">
      <t>コ</t>
    </rPh>
    <rPh sb="7" eb="10">
      <t>カナガワ</t>
    </rPh>
    <phoneticPr fontId="2"/>
  </si>
  <si>
    <t>△●　次郎
（長野）</t>
    <rPh sb="3" eb="5">
      <t>ジロウ</t>
    </rPh>
    <rPh sb="7" eb="9">
      <t>ナガノ</t>
    </rPh>
    <phoneticPr fontId="2"/>
  </si>
  <si>
    <t>協力　○○
（京都）</t>
    <rPh sb="0" eb="2">
      <t>キョウリョク</t>
    </rPh>
    <rPh sb="7" eb="9">
      <t>キョウト</t>
    </rPh>
    <phoneticPr fontId="2"/>
  </si>
  <si>
    <t>開発課題1/需要調査</t>
    <rPh sb="0" eb="2">
      <t>カイハツ</t>
    </rPh>
    <rPh sb="2" eb="4">
      <t>カダイ</t>
    </rPh>
    <rPh sb="6" eb="8">
      <t>ジュヨウ</t>
    </rPh>
    <rPh sb="8" eb="10">
      <t>チョウサ</t>
    </rPh>
    <phoneticPr fontId="2"/>
  </si>
  <si>
    <t>㈱Y◯Zホールティングス</t>
    <phoneticPr fontId="2"/>
  </si>
  <si>
    <t>DD◯コンサル㈱</t>
    <phoneticPr fontId="2"/>
  </si>
  <si>
    <t>㈱Y◯Zホールティングス（補強：SSS大学）</t>
    <rPh sb="13" eb="15">
      <t>ホキョウ</t>
    </rPh>
    <rPh sb="19" eb="21">
      <t>ダイガク</t>
    </rPh>
    <phoneticPr fontId="2"/>
  </si>
  <si>
    <t>㈱FF◯コンサルタント</t>
    <phoneticPr fontId="2"/>
  </si>
  <si>
    <t>鈴◯　花子
（ハノイ）</t>
    <rPh sb="0" eb="1">
      <t>スズ</t>
    </rPh>
    <rPh sb="3" eb="5">
      <t>ハナコ</t>
    </rPh>
    <phoneticPr fontId="2"/>
  </si>
  <si>
    <t>国際　太◯
（埼玉）</t>
    <rPh sb="0" eb="2">
      <t>コクサイ</t>
    </rPh>
    <rPh sb="3" eb="4">
      <t>フトシ</t>
    </rPh>
    <rPh sb="7" eb="9">
      <t>サイタマ</t>
    </rPh>
    <phoneticPr fontId="2"/>
  </si>
  <si>
    <t>運営計画/開発効果</t>
    <rPh sb="0" eb="2">
      <t>ウンエイ</t>
    </rPh>
    <rPh sb="2" eb="4">
      <t>ケイカク</t>
    </rPh>
    <rPh sb="5" eb="7">
      <t>カイハツ</t>
    </rPh>
    <rPh sb="7" eb="9">
      <t>コウカ</t>
    </rPh>
    <phoneticPr fontId="2"/>
  </si>
  <si>
    <t>阿部　△△
（千葉）</t>
    <rPh sb="0" eb="2">
      <t>アベ</t>
    </rPh>
    <rPh sb="7" eb="9">
      <t>チバ</t>
    </rPh>
    <phoneticPr fontId="2"/>
  </si>
  <si>
    <t>◯際　Ｅ郎
（東京）</t>
    <rPh sb="1" eb="2">
      <t>サイ</t>
    </rPh>
    <rPh sb="4" eb="5">
      <t>ロウ</t>
    </rPh>
    <rPh sb="7" eb="9">
      <t>トウキョウ</t>
    </rPh>
    <phoneticPr fontId="2"/>
  </si>
  <si>
    <t>４</t>
    <phoneticPr fontId="2"/>
  </si>
  <si>
    <t>協力準備調査（PPP等インフラ事業）</t>
    <rPh sb="0" eb="2">
      <t>キョウリョク</t>
    </rPh>
    <rPh sb="2" eb="4">
      <t>ジュンビ</t>
    </rPh>
    <rPh sb="4" eb="6">
      <t>チョウサ</t>
    </rPh>
    <rPh sb="10" eb="11">
      <t>トウ</t>
    </rPh>
    <rPh sb="15" eb="17">
      <t>ジギョウ</t>
    </rPh>
    <phoneticPr fontId="2"/>
  </si>
  <si>
    <t>　　　提案法人、外部人材（A,B,Cの番号順）の順に記載ください。</t>
    <rPh sb="3" eb="5">
      <t>テイアン</t>
    </rPh>
    <rPh sb="5" eb="7">
      <t>ホウジン</t>
    </rPh>
    <rPh sb="8" eb="10">
      <t>ガイブ</t>
    </rPh>
    <rPh sb="10" eb="12">
      <t>ジンザイ</t>
    </rPh>
    <rPh sb="19" eb="21">
      <t>バンゴウ</t>
    </rPh>
    <rPh sb="21" eb="22">
      <t>ジュン</t>
    </rPh>
    <rPh sb="24" eb="25">
      <t>ジュン</t>
    </rPh>
    <rPh sb="26" eb="28">
      <t>キサイ</t>
    </rPh>
    <phoneticPr fontId="2"/>
  </si>
  <si>
    <t>（注1）外部人材については所属分類が３種類あります。その他原価、一般管理費等を算出するため、所属先ごとに分類・枝番を選択してください。提案企業はＺを選択ください。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</si>
  <si>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合計</t>
    <rPh sb="0" eb="2">
      <t>ゴウケイ</t>
    </rPh>
    <phoneticPr fontId="2"/>
  </si>
  <si>
    <t>GG◯科学㈱</t>
    <rPh sb="3" eb="5">
      <t>カガク</t>
    </rPh>
    <phoneticPr fontId="2"/>
  </si>
  <si>
    <t>無（個人）</t>
    <rPh sb="0" eb="1">
      <t>ナ</t>
    </rPh>
    <rPh sb="2" eb="4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</si>
</sst>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6" xfId="3" applyNumberFormat="1" applyFont="1" applyFill="1" applyBorder="1" applyAlignment="1" applyProtection="1">
      <alignment vertical="center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Font="1" applyBorder="1" applyProtection="1">
      <alignment vertical="center"/>
      <protection locked="0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69" xfId="3" applyFont="1" applyBorder="1" applyAlignment="1">
      <alignment wrapText="1"/>
    </xf>
    <xf numFmtId="0" fontId="41" fillId="0" borderId="0" xfId="89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41" fillId="0" borderId="14" xfId="89" applyFont="1" applyFill="1" applyBorder="1">
      <alignment vertical="center"/>
    </xf>
    <xf numFmtId="0" fontId="0" fillId="0" borderId="7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center" vertical="center"/>
    </xf>
    <xf numFmtId="0" fontId="16" fillId="0" borderId="0" xfId="3" applyFont="1" applyAlignment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176" fontId="4" fillId="2" borderId="2" xfId="3" applyNumberFormat="1" applyFont="1" applyFill="1" applyBorder="1" applyAlignment="1"/>
    <xf numFmtId="176" fontId="4" fillId="2" borderId="8" xfId="3" applyNumberFormat="1" applyFont="1" applyFill="1" applyBorder="1" applyAlignment="1"/>
    <xf numFmtId="176" fontId="4" fillId="0" borderId="25" xfId="3" applyNumberFormat="1" applyFont="1" applyFill="1" applyBorder="1" applyAlignment="1"/>
    <xf numFmtId="176" fontId="4" fillId="0" borderId="0" xfId="3" applyNumberFormat="1" applyFont="1" applyFill="1" applyBorder="1" applyAlignment="1"/>
    <xf numFmtId="0" fontId="6" fillId="0" borderId="0" xfId="3" applyFont="1" applyAlignment="1">
      <alignment vertical="center"/>
    </xf>
    <xf numFmtId="0" fontId="9" fillId="0" borderId="1" xfId="3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25~41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行を選択し、再表示させてください。それでも不足の時は、行を挿入し、必要な関数をコピーしてください。</a:t>
          </a:r>
        </a:p>
      </xdr:txBody>
    </xdr:sp>
    <xdr:clientData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317500</xdr:colOff>
      <xdr:row>40</xdr:row>
      <xdr:rowOff>179917</xdr:rowOff>
    </xdr:from>
    <xdr:to>
      <xdr:col>15</xdr:col>
      <xdr:colOff>84667</xdr:colOff>
      <xdr:row>41</xdr:row>
      <xdr:rowOff>232833</xdr:rowOff>
    </xdr:to>
    <xdr:sp macro="" textlink="">
      <xdr:nvSpPr>
        <xdr:cNvPr id="14" name="角丸四角形吹き出し 13"/>
        <xdr:cNvSpPr/>
      </xdr:nvSpPr>
      <xdr:spPr>
        <a:xfrm>
          <a:off x="7926917" y="9112250"/>
          <a:ext cx="2116667" cy="433916"/>
        </a:xfrm>
        <a:prstGeom prst="wedgeRoundRectCallout">
          <a:avLst>
            <a:gd name="adj1" fmla="val 58196"/>
            <a:gd name="adj2" fmla="val -54260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現地国内移動の為、</a:t>
          </a:r>
          <a:r>
            <a:rPr kumimoji="1" lang="en-US" altLang="ja-JP" sz="1100">
              <a:solidFill>
                <a:srgbClr val="FF0000"/>
              </a:solidFill>
            </a:rPr>
            <a:t>-1</a:t>
          </a:r>
          <a:r>
            <a:rPr kumimoji="1" lang="ja-JP" altLang="en-US" sz="1100"/>
            <a:t>日で計上</a:t>
          </a:r>
        </a:p>
      </xdr:txBody>
    </xdr:sp>
    <xdr:clientData/>
  </xdr:twoCellAnchor>
  <xdr:twoCellAnchor>
    <xdr:from>
      <xdr:col>16</xdr:col>
      <xdr:colOff>127000</xdr:colOff>
      <xdr:row>41</xdr:row>
      <xdr:rowOff>105834</xdr:rowOff>
    </xdr:from>
    <xdr:to>
      <xdr:col>20</xdr:col>
      <xdr:colOff>243417</xdr:colOff>
      <xdr:row>43</xdr:row>
      <xdr:rowOff>169334</xdr:rowOff>
    </xdr:to>
    <xdr:sp macro="" textlink="">
      <xdr:nvSpPr>
        <xdr:cNvPr id="15" name="角丸四角形吹き出し 14"/>
        <xdr:cNvSpPr/>
      </xdr:nvSpPr>
      <xdr:spPr>
        <a:xfrm>
          <a:off x="10329333" y="9419167"/>
          <a:ext cx="2116667" cy="825500"/>
        </a:xfrm>
        <a:prstGeom prst="wedgeRoundRectCallout">
          <a:avLst>
            <a:gd name="adj1" fmla="val -37304"/>
            <a:gd name="adj2" fmla="val -6519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>
              <a:latin typeface="+mn-ea"/>
              <a:ea typeface="+mn-ea"/>
            </a:rPr>
            <a:t>連続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日以上滞在の場合は、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行目でマイナス計上の為、日当と同日で計上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19</xdr:col>
      <xdr:colOff>455082</xdr:colOff>
      <xdr:row>24</xdr:row>
      <xdr:rowOff>190500</xdr:rowOff>
    </xdr:from>
    <xdr:to>
      <xdr:col>21</xdr:col>
      <xdr:colOff>920749</xdr:colOff>
      <xdr:row>41</xdr:row>
      <xdr:rowOff>31752</xdr:rowOff>
    </xdr:to>
    <xdr:sp macro="" textlink="">
      <xdr:nvSpPr>
        <xdr:cNvPr id="17" name="角丸四角形吹き出し 16"/>
        <xdr:cNvSpPr/>
      </xdr:nvSpPr>
      <xdr:spPr>
        <a:xfrm>
          <a:off x="11620499" y="8741833"/>
          <a:ext cx="2222500" cy="603252"/>
        </a:xfrm>
        <a:prstGeom prst="wedgeRoundRectCallout">
          <a:avLst>
            <a:gd name="adj1" fmla="val -16339"/>
            <a:gd name="adj2" fmla="val -28011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長野～羽田空港間の旅費を計上</a:t>
          </a:r>
        </a:p>
      </xdr:txBody>
    </xdr:sp>
    <xdr:clientData/>
  </xdr:twoCellAnchor>
  <xdr:twoCellAnchor>
    <xdr:from>
      <xdr:col>8</xdr:col>
      <xdr:colOff>550333</xdr:colOff>
      <xdr:row>14</xdr:row>
      <xdr:rowOff>137583</xdr:rowOff>
    </xdr:from>
    <xdr:to>
      <xdr:col>14</xdr:col>
      <xdr:colOff>253999</xdr:colOff>
      <xdr:row>15</xdr:row>
      <xdr:rowOff>222251</xdr:rowOff>
    </xdr:to>
    <xdr:sp macro="" textlink="">
      <xdr:nvSpPr>
        <xdr:cNvPr id="13" name="角丸四角形吹き出し 12"/>
        <xdr:cNvSpPr/>
      </xdr:nvSpPr>
      <xdr:spPr>
        <a:xfrm>
          <a:off x="6529916" y="4878916"/>
          <a:ext cx="2921000" cy="465668"/>
        </a:xfrm>
        <a:prstGeom prst="wedgeRoundRectCallout">
          <a:avLst>
            <a:gd name="adj1" fmla="val -46815"/>
            <a:gd name="adj2" fmla="val -1625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１渡航</a:t>
          </a:r>
          <a:r>
            <a:rPr kumimoji="1" lang="en-US" altLang="ja-JP" sz="1100"/>
            <a:t>35</a:t>
          </a:r>
          <a:r>
            <a:rPr kumimoji="1" lang="ja-JP" altLang="en-US" sz="1100"/>
            <a:t>日滞在、単価が違うため</a:t>
          </a:r>
          <a:r>
            <a:rPr kumimoji="1" lang="en-US" altLang="ja-JP" sz="1100"/>
            <a:t>2</a:t>
          </a:r>
          <a:r>
            <a:rPr kumimoji="1" lang="ja-JP" altLang="en-US" sz="1100"/>
            <a:t>行で計上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r>
            <a:rPr kumimoji="1" lang="en-US" altLang="ja-JP" sz="1000">
              <a:solidFill>
                <a:sysClr val="windowText" lastClr="000000"/>
              </a:solidFill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</a:rPr>
            <a:t>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70" t="s">
        <v>181</v>
      </c>
      <c r="B1" s="470"/>
      <c r="C1" s="470"/>
    </row>
    <row r="2" spans="1:3" ht="18" customHeight="1">
      <c r="A2" s="137" t="s">
        <v>179</v>
      </c>
      <c r="B2" s="137"/>
      <c r="C2" s="137"/>
    </row>
    <row r="3" spans="1:3" ht="18" customHeight="1">
      <c r="A3" s="303" t="s">
        <v>180</v>
      </c>
      <c r="B3" s="137" t="s">
        <v>252</v>
      </c>
      <c r="C3" s="137"/>
    </row>
    <row r="4" spans="1:3" ht="18" customHeight="1">
      <c r="A4" s="303" t="s">
        <v>180</v>
      </c>
      <c r="B4" s="137" t="s">
        <v>253</v>
      </c>
      <c r="C4" s="137"/>
    </row>
    <row r="5" spans="1:3" ht="18" customHeight="1">
      <c r="A5" s="303" t="s">
        <v>180</v>
      </c>
      <c r="B5" s="137" t="s">
        <v>254</v>
      </c>
      <c r="C5" s="137"/>
    </row>
    <row r="6" spans="1:3" ht="18" customHeight="1">
      <c r="A6" s="303" t="s">
        <v>180</v>
      </c>
      <c r="B6" s="137" t="s">
        <v>255</v>
      </c>
      <c r="C6" s="137"/>
    </row>
    <row r="7" spans="1:3" ht="18" customHeight="1" thickBot="1">
      <c r="A7" s="137"/>
      <c r="B7" s="137"/>
      <c r="C7" s="137"/>
    </row>
    <row r="8" spans="1:3" ht="18" customHeight="1">
      <c r="A8" s="253"/>
      <c r="B8" s="254" t="s">
        <v>182</v>
      </c>
      <c r="C8" s="255" t="s">
        <v>183</v>
      </c>
    </row>
    <row r="9" spans="1:3" ht="85.5">
      <c r="A9" s="467" t="s">
        <v>186</v>
      </c>
      <c r="B9" s="305" t="s">
        <v>184</v>
      </c>
      <c r="C9" s="320" t="s">
        <v>353</v>
      </c>
    </row>
    <row r="10" spans="1:3" ht="28.5">
      <c r="A10" s="468"/>
      <c r="B10" s="305" t="s">
        <v>185</v>
      </c>
      <c r="C10" s="320" t="s">
        <v>354</v>
      </c>
    </row>
    <row r="11" spans="1:3" ht="67.5" customHeight="1">
      <c r="A11" s="469" t="s">
        <v>197</v>
      </c>
      <c r="B11" s="412" t="s">
        <v>346</v>
      </c>
      <c r="C11" s="320" t="s">
        <v>352</v>
      </c>
    </row>
    <row r="12" spans="1:3" ht="41.25" customHeight="1">
      <c r="A12" s="469"/>
      <c r="B12" s="305" t="s">
        <v>187</v>
      </c>
      <c r="C12" s="320" t="s">
        <v>206</v>
      </c>
    </row>
    <row r="13" spans="1:3" ht="39.75" customHeight="1">
      <c r="A13" s="469"/>
      <c r="B13" s="307" t="s">
        <v>189</v>
      </c>
      <c r="C13" s="320" t="s">
        <v>245</v>
      </c>
    </row>
    <row r="14" spans="1:3" ht="128.25">
      <c r="A14" s="469"/>
      <c r="B14" s="307" t="s">
        <v>194</v>
      </c>
      <c r="C14" s="320" t="s">
        <v>256</v>
      </c>
    </row>
    <row r="15" spans="1:3" ht="36.75" customHeight="1">
      <c r="A15" s="469"/>
      <c r="B15" s="307" t="s">
        <v>195</v>
      </c>
      <c r="C15" s="320" t="s">
        <v>240</v>
      </c>
    </row>
    <row r="16" spans="1:3" ht="42.75">
      <c r="A16" s="469"/>
      <c r="B16" s="366" t="s">
        <v>365</v>
      </c>
      <c r="C16" s="320" t="s">
        <v>364</v>
      </c>
    </row>
    <row r="17" spans="1:3" ht="41.25" customHeight="1">
      <c r="A17" s="469"/>
      <c r="B17" s="447" t="s">
        <v>196</v>
      </c>
      <c r="C17" s="448" t="s">
        <v>198</v>
      </c>
    </row>
    <row r="18" spans="1:3" ht="43.5" thickBot="1">
      <c r="A18" s="449"/>
      <c r="B18" s="450" t="s">
        <v>358</v>
      </c>
      <c r="C18" s="451" t="s">
        <v>359</v>
      </c>
    </row>
    <row r="19" spans="1:3" ht="18" customHeight="1">
      <c r="A19" s="452"/>
      <c r="B19" s="452"/>
      <c r="C19" s="453"/>
    </row>
    <row r="20" spans="1:3" ht="18" customHeight="1">
      <c r="A20" s="137"/>
      <c r="B20" s="137"/>
      <c r="C20" s="137"/>
    </row>
    <row r="21" spans="1:3" ht="18" customHeight="1">
      <c r="A21" s="137"/>
      <c r="B21" s="138" t="s">
        <v>155</v>
      </c>
      <c r="C21" s="137"/>
    </row>
    <row r="22" spans="1:3" ht="65.25" customHeight="1">
      <c r="A22" s="137"/>
      <c r="B22" s="305" t="s">
        <v>244</v>
      </c>
      <c r="C22" s="306" t="s">
        <v>241</v>
      </c>
    </row>
    <row r="23" spans="1:3" ht="54.75" customHeight="1">
      <c r="A23" s="137"/>
      <c r="B23" s="308" t="s">
        <v>200</v>
      </c>
      <c r="C23" s="306" t="s">
        <v>201</v>
      </c>
    </row>
    <row r="24" spans="1:3" ht="41.25" customHeight="1">
      <c r="A24" s="137"/>
      <c r="B24" s="305" t="s">
        <v>246</v>
      </c>
      <c r="C24" s="364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  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N25" sqref="M25:N26"/>
    </sheetView>
  </sheetViews>
  <sheetFormatPr defaultRowHeight="14.25"/>
  <cols>
    <col min="1" max="1" width="6.125" style="96" customWidth="1"/>
    <col min="2" max="2" width="30.375" style="96" customWidth="1"/>
    <col min="3" max="3" width="21.5" style="96" customWidth="1"/>
    <col min="4" max="4" width="16.625" style="96" customWidth="1"/>
    <col min="5" max="5" width="13.5" style="96" customWidth="1"/>
    <col min="6" max="6" width="22.75" style="96" customWidth="1"/>
    <col min="7" max="7" width="19.25" style="96" customWidth="1"/>
    <col min="8" max="8" width="7.75" style="96" customWidth="1"/>
    <col min="9" max="16384" width="9" style="96"/>
  </cols>
  <sheetData>
    <row r="2" spans="1:8" ht="20.25" customHeight="1">
      <c r="A2" s="39" t="s">
        <v>149</v>
      </c>
      <c r="B2" s="102"/>
      <c r="C2" s="39"/>
      <c r="D2" s="39"/>
      <c r="E2" s="39"/>
      <c r="F2" s="39"/>
      <c r="G2" s="39"/>
    </row>
    <row r="3" spans="1:8" ht="20.25" customHeight="1">
      <c r="A3" s="39"/>
      <c r="B3" s="45"/>
      <c r="C3" s="45"/>
      <c r="D3" s="39"/>
      <c r="E3" s="39"/>
      <c r="F3" s="39"/>
      <c r="G3" s="39"/>
    </row>
    <row r="4" spans="1:8" ht="20.25" customHeight="1" thickBot="1">
      <c r="A4" s="39" t="s">
        <v>207</v>
      </c>
      <c r="B4" s="45"/>
      <c r="C4" s="103">
        <f>F13</f>
        <v>1900000</v>
      </c>
      <c r="D4" s="39" t="s">
        <v>11</v>
      </c>
      <c r="E4" s="39"/>
      <c r="F4" s="39"/>
      <c r="G4" s="39"/>
    </row>
    <row r="5" spans="1:8" ht="20.25" customHeight="1">
      <c r="A5" s="39"/>
      <c r="B5" s="317" t="s">
        <v>216</v>
      </c>
      <c r="C5" s="41" t="s">
        <v>217</v>
      </c>
      <c r="D5" s="269" t="s">
        <v>218</v>
      </c>
      <c r="E5" s="41" t="s">
        <v>46</v>
      </c>
      <c r="F5" s="235" t="s">
        <v>219</v>
      </c>
      <c r="G5" s="371" t="s">
        <v>220</v>
      </c>
      <c r="H5" s="247" t="s">
        <v>175</v>
      </c>
    </row>
    <row r="6" spans="1:8" ht="20.25" customHeight="1">
      <c r="A6" s="39"/>
      <c r="B6" s="226" t="s">
        <v>340</v>
      </c>
      <c r="C6" s="104"/>
      <c r="D6" s="234">
        <v>500000</v>
      </c>
      <c r="E6" s="105">
        <v>2</v>
      </c>
      <c r="F6" s="233">
        <f t="shared" ref="F6:F12" si="0">D6*E6</f>
        <v>1000000</v>
      </c>
      <c r="G6" s="372"/>
      <c r="H6" s="248"/>
    </row>
    <row r="7" spans="1:8" ht="20.25" customHeight="1">
      <c r="A7" s="39"/>
      <c r="B7" s="226" t="s">
        <v>341</v>
      </c>
      <c r="C7" s="104"/>
      <c r="D7" s="234">
        <v>300000</v>
      </c>
      <c r="E7" s="106">
        <v>3</v>
      </c>
      <c r="F7" s="233">
        <f t="shared" si="0"/>
        <v>900000</v>
      </c>
      <c r="G7" s="372"/>
      <c r="H7" s="248"/>
    </row>
    <row r="8" spans="1:8" ht="20.25" customHeight="1">
      <c r="A8" s="39"/>
      <c r="B8" s="226"/>
      <c r="C8" s="104"/>
      <c r="D8" s="234"/>
      <c r="E8" s="106"/>
      <c r="F8" s="233">
        <f t="shared" si="0"/>
        <v>0</v>
      </c>
      <c r="G8" s="372"/>
      <c r="H8" s="248"/>
    </row>
    <row r="9" spans="1:8" ht="20.25" customHeight="1">
      <c r="A9" s="39"/>
      <c r="B9" s="226"/>
      <c r="C9" s="104"/>
      <c r="D9" s="234"/>
      <c r="E9" s="106"/>
      <c r="F9" s="233">
        <f t="shared" si="0"/>
        <v>0</v>
      </c>
      <c r="G9" s="372"/>
      <c r="H9" s="248"/>
    </row>
    <row r="10" spans="1:8" ht="20.25" customHeight="1">
      <c r="A10" s="39"/>
      <c r="B10" s="226"/>
      <c r="C10" s="104"/>
      <c r="D10" s="234"/>
      <c r="E10" s="106"/>
      <c r="F10" s="233">
        <f t="shared" si="0"/>
        <v>0</v>
      </c>
      <c r="G10" s="372"/>
      <c r="H10" s="248"/>
    </row>
    <row r="11" spans="1:8" ht="20.25" customHeight="1">
      <c r="A11" s="39"/>
      <c r="B11" s="226"/>
      <c r="C11" s="104"/>
      <c r="D11" s="234"/>
      <c r="E11" s="106"/>
      <c r="F11" s="233">
        <f t="shared" si="0"/>
        <v>0</v>
      </c>
      <c r="G11" s="372"/>
      <c r="H11" s="248"/>
    </row>
    <row r="12" spans="1:8" ht="20.25" customHeight="1">
      <c r="A12" s="39"/>
      <c r="B12" s="226" t="s">
        <v>133</v>
      </c>
      <c r="C12" s="104"/>
      <c r="D12" s="234"/>
      <c r="E12" s="106"/>
      <c r="F12" s="233">
        <f t="shared" si="0"/>
        <v>0</v>
      </c>
      <c r="G12" s="372"/>
      <c r="H12" s="248"/>
    </row>
    <row r="13" spans="1:8" ht="20.25" customHeight="1" thickBot="1">
      <c r="A13" s="39"/>
      <c r="B13" s="577" t="s">
        <v>73</v>
      </c>
      <c r="C13" s="578"/>
      <c r="D13" s="229"/>
      <c r="E13" s="111"/>
      <c r="F13" s="228">
        <f>SUM(F6:F12)</f>
        <v>1900000</v>
      </c>
      <c r="G13" s="373"/>
      <c r="H13" s="249"/>
    </row>
    <row r="14" spans="1:8" ht="20.25" customHeight="1">
      <c r="C14" s="110"/>
      <c r="D14" s="110"/>
    </row>
    <row r="15" spans="1:8" ht="20.25" customHeight="1">
      <c r="A15" s="39"/>
      <c r="B15" s="102"/>
      <c r="C15" s="39"/>
      <c r="D15" s="39"/>
      <c r="E15" s="39"/>
      <c r="F15" s="43"/>
      <c r="G15" s="39"/>
    </row>
    <row r="16" spans="1:8" ht="20.25" customHeight="1" thickBot="1">
      <c r="A16" s="39" t="s">
        <v>208</v>
      </c>
      <c r="B16" s="107"/>
      <c r="C16" s="103">
        <f>F21</f>
        <v>200000</v>
      </c>
      <c r="D16" s="39" t="s">
        <v>11</v>
      </c>
      <c r="E16" s="45"/>
      <c r="F16" s="45"/>
      <c r="G16" s="45"/>
    </row>
    <row r="17" spans="1:8" ht="20.25" customHeight="1">
      <c r="A17" s="102"/>
      <c r="B17" s="317" t="s">
        <v>216</v>
      </c>
      <c r="C17" s="41" t="s">
        <v>217</v>
      </c>
      <c r="D17" s="269" t="s">
        <v>218</v>
      </c>
      <c r="E17" s="41" t="s">
        <v>46</v>
      </c>
      <c r="F17" s="235" t="s">
        <v>221</v>
      </c>
      <c r="G17" s="371" t="s">
        <v>220</v>
      </c>
      <c r="H17" s="247" t="s">
        <v>175</v>
      </c>
    </row>
    <row r="18" spans="1:8" ht="20.25" customHeight="1">
      <c r="A18" s="39"/>
      <c r="B18" s="226" t="s">
        <v>340</v>
      </c>
      <c r="C18" s="104"/>
      <c r="D18" s="234">
        <v>200000</v>
      </c>
      <c r="E18" s="105">
        <v>1</v>
      </c>
      <c r="F18" s="233">
        <f>D18*E18</f>
        <v>200000</v>
      </c>
      <c r="G18" s="372"/>
      <c r="H18" s="248"/>
    </row>
    <row r="19" spans="1:8" ht="20.25" customHeight="1">
      <c r="A19" s="39"/>
      <c r="B19" s="226"/>
      <c r="C19" s="104"/>
      <c r="D19" s="234"/>
      <c r="E19" s="106"/>
      <c r="F19" s="233">
        <f>D19*E19</f>
        <v>0</v>
      </c>
      <c r="G19" s="372"/>
      <c r="H19" s="248"/>
    </row>
    <row r="20" spans="1:8" ht="20.25" customHeight="1">
      <c r="A20" s="39"/>
      <c r="B20" s="226" t="s">
        <v>133</v>
      </c>
      <c r="C20" s="104"/>
      <c r="D20" s="234"/>
      <c r="E20" s="106"/>
      <c r="F20" s="233">
        <f>D20*E20</f>
        <v>0</v>
      </c>
      <c r="G20" s="372"/>
      <c r="H20" s="248"/>
    </row>
    <row r="21" spans="1:8" ht="20.25" customHeight="1" thickBot="1">
      <c r="A21" s="39"/>
      <c r="B21" s="503" t="s">
        <v>74</v>
      </c>
      <c r="C21" s="576"/>
      <c r="D21" s="230"/>
      <c r="E21" s="108"/>
      <c r="F21" s="228">
        <f>SUM(F18:F20)</f>
        <v>200000</v>
      </c>
      <c r="G21" s="373"/>
      <c r="H21" s="249"/>
    </row>
    <row r="22" spans="1:8" ht="20.25" customHeight="1">
      <c r="A22" s="39"/>
      <c r="B22" s="270"/>
      <c r="C22" s="231"/>
      <c r="D22" s="236"/>
      <c r="E22" s="109"/>
      <c r="F22" s="232"/>
      <c r="G22" s="237"/>
    </row>
    <row r="23" spans="1:8" ht="20.25" customHeight="1"/>
    <row r="24" spans="1:8" ht="20.25" customHeight="1" thickBot="1">
      <c r="A24" s="96" t="s">
        <v>209</v>
      </c>
      <c r="C24" s="103">
        <f>F29</f>
        <v>150000</v>
      </c>
      <c r="D24" s="39" t="s">
        <v>11</v>
      </c>
    </row>
    <row r="25" spans="1:8" ht="20.25" customHeight="1">
      <c r="B25" s="317" t="s">
        <v>216</v>
      </c>
      <c r="C25" s="41" t="s">
        <v>23</v>
      </c>
      <c r="D25" s="269" t="s">
        <v>60</v>
      </c>
      <c r="E25" s="41" t="s">
        <v>61</v>
      </c>
      <c r="F25" s="269" t="s">
        <v>62</v>
      </c>
      <c r="G25" s="371" t="s">
        <v>220</v>
      </c>
      <c r="H25" s="247" t="s">
        <v>175</v>
      </c>
    </row>
    <row r="26" spans="1:8" ht="20.25" customHeight="1">
      <c r="B26" s="226" t="s">
        <v>342</v>
      </c>
      <c r="C26" s="55"/>
      <c r="D26" s="239">
        <v>150000</v>
      </c>
      <c r="E26" s="55">
        <v>1</v>
      </c>
      <c r="F26" s="233">
        <f>D26*E26</f>
        <v>150000</v>
      </c>
      <c r="G26" s="374"/>
      <c r="H26" s="248"/>
    </row>
    <row r="27" spans="1:8" ht="20.25" customHeight="1">
      <c r="B27" s="226"/>
      <c r="C27" s="55"/>
      <c r="D27" s="239"/>
      <c r="E27" s="55"/>
      <c r="F27" s="233">
        <f>D27*E27</f>
        <v>0</v>
      </c>
      <c r="G27" s="374"/>
      <c r="H27" s="248"/>
    </row>
    <row r="28" spans="1:8" ht="20.25" customHeight="1">
      <c r="B28" s="226" t="s">
        <v>133</v>
      </c>
      <c r="C28" s="55"/>
      <c r="D28" s="239"/>
      <c r="E28" s="55"/>
      <c r="F28" s="233">
        <f>D28*E28</f>
        <v>0</v>
      </c>
      <c r="G28" s="374"/>
      <c r="H28" s="248"/>
    </row>
    <row r="29" spans="1:8" ht="20.25" customHeight="1" thickBot="1">
      <c r="B29" s="503" t="s">
        <v>75</v>
      </c>
      <c r="C29" s="576"/>
      <c r="D29" s="229"/>
      <c r="E29" s="113"/>
      <c r="F29" s="238">
        <f>SUM(F26:F28)</f>
        <v>150000</v>
      </c>
      <c r="G29" s="375"/>
      <c r="H29" s="249"/>
    </row>
    <row r="30" spans="1:8" ht="20.25" customHeight="1">
      <c r="B30" s="270"/>
      <c r="C30" s="270"/>
      <c r="D30" s="231"/>
      <c r="E30" s="231"/>
      <c r="F30" s="231"/>
      <c r="G30" s="270"/>
    </row>
    <row r="31" spans="1:8" ht="20.25" customHeight="1">
      <c r="B31" s="45" t="s">
        <v>222</v>
      </c>
    </row>
    <row r="32" spans="1:8" ht="20.25" customHeight="1">
      <c r="A32" s="39"/>
      <c r="B32" s="96" t="s">
        <v>134</v>
      </c>
      <c r="C32" s="45"/>
      <c r="D32" s="231"/>
      <c r="E32" s="112"/>
      <c r="F32" s="227"/>
      <c r="G32" s="231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  <ignoredErrors>
    <ignoredError sqref="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topLeftCell="A4" zoomScale="90" zoomScaleNormal="100" zoomScaleSheetLayoutView="90" workbookViewId="0">
      <selection activeCell="L26" sqref="L26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2" bestFit="1" customWidth="1"/>
    <col min="6" max="6" width="9" style="132"/>
    <col min="7" max="7" width="16.625" customWidth="1"/>
    <col min="8" max="8" width="21" bestFit="1" customWidth="1"/>
    <col min="9" max="9" width="14.375" bestFit="1" customWidth="1"/>
  </cols>
  <sheetData>
    <row r="2" spans="1:17">
      <c r="A2" s="137"/>
      <c r="B2" s="581" t="str">
        <f>IF(様式1!B5="見積金額内訳書","",IF(様式1!B5="最終見積金額内訳書","",Q6))</f>
        <v/>
      </c>
      <c r="C2" s="581"/>
      <c r="D2" s="581"/>
      <c r="G2" s="137"/>
      <c r="H2" s="137"/>
      <c r="I2" s="303"/>
    </row>
    <row r="3" spans="1:17" ht="17.25">
      <c r="A3" s="137"/>
      <c r="B3" s="579" t="s">
        <v>87</v>
      </c>
      <c r="C3" s="579"/>
      <c r="D3" s="579"/>
      <c r="E3" s="579"/>
      <c r="F3" s="579"/>
      <c r="G3" s="579"/>
      <c r="H3" s="579"/>
      <c r="I3" s="579"/>
    </row>
    <row r="4" spans="1:17" ht="18" thickBot="1">
      <c r="A4" s="137"/>
      <c r="B4" s="580"/>
      <c r="C4" s="580"/>
      <c r="D4" s="580"/>
      <c r="E4" s="580"/>
      <c r="F4" s="580"/>
      <c r="G4" s="580"/>
      <c r="H4" s="580"/>
      <c r="I4" s="580"/>
    </row>
    <row r="5" spans="1:17" ht="30" customHeight="1" thickBot="1">
      <c r="A5" s="411" t="s">
        <v>77</v>
      </c>
      <c r="B5" s="136" t="s">
        <v>88</v>
      </c>
      <c r="C5" s="126" t="s">
        <v>89</v>
      </c>
      <c r="D5" s="126" t="s">
        <v>90</v>
      </c>
      <c r="E5" s="126" t="s">
        <v>79</v>
      </c>
      <c r="F5" s="126" t="s">
        <v>91</v>
      </c>
      <c r="G5" s="126" t="s">
        <v>168</v>
      </c>
      <c r="H5" s="126" t="s">
        <v>250</v>
      </c>
      <c r="I5" s="127" t="s">
        <v>143</v>
      </c>
    </row>
    <row r="6" spans="1:17" ht="30" customHeight="1" thickTop="1">
      <c r="A6" s="413">
        <v>1</v>
      </c>
      <c r="B6" s="304" t="str">
        <f>IF($A6="","",VLOOKUP($A6,従事者明細!$A$3:$I$52,2,FALSE))</f>
        <v>国◯　●男
（大阪）</v>
      </c>
      <c r="C6" s="118" t="str">
        <f>IF($A6="","",VLOOKUP($A6,従事者明細!$A$3:$I$52,3,FALSE))</f>
        <v>業務主任/事業計画策定</v>
      </c>
      <c r="D6" s="118" t="str">
        <f>IF($A6="","",VLOOKUP($A6,従事者明細!$A$3:$I$52,5,FALSE))</f>
        <v>㈱Y◯Zホールティングス</v>
      </c>
      <c r="E6" s="133" t="str">
        <f>IF($A6="","",VLOOKUP($A6,従事者明細!$A$3:$I$52,4,FALSE))</f>
        <v>Z</v>
      </c>
      <c r="F6" s="134">
        <f>IF($A6="","",VLOOKUP($A6,従事者明細!$A$3:$I$52,6,FALSE))</f>
        <v>2</v>
      </c>
      <c r="G6" s="139">
        <f>IF($A6="","",VLOOKUP($A6,従事者明細!$A$3:$I$52,7,FALSE))</f>
        <v>20372</v>
      </c>
      <c r="H6" s="135" t="str">
        <f>IF($A6="","",VLOOKUP($A6,従事者明細!$A$3:$I$52,8,FALSE))</f>
        <v>　○○工業大学卒
　△△△大学院修了</v>
      </c>
      <c r="I6" s="454" t="str">
        <f>IF($A6="","",VLOOKUP($A6,従事者明細!$A$3:$I$52,9,FALSE))</f>
        <v>19**年3月
19**年9月</v>
      </c>
      <c r="Q6" t="s">
        <v>174</v>
      </c>
    </row>
    <row r="7" spans="1:17" ht="30" customHeight="1">
      <c r="A7" s="414">
        <v>2</v>
      </c>
      <c r="B7" s="304" t="str">
        <f>IF($A7="","",VLOOKUP($A7,従事者明細!$A$3:$I$52,2,FALSE))</f>
        <v>○○　一朗
（大阪）</v>
      </c>
      <c r="C7" s="118" t="str">
        <f>IF($A7="","",VLOOKUP($A7,従事者明細!$A$3:$I$52,3,FALSE))</f>
        <v>開発課題1/需要調査</v>
      </c>
      <c r="D7" s="118" t="str">
        <f>IF($A7="","",VLOOKUP($A7,従事者明細!$A$3:$I$52,5,FALSE))</f>
        <v>㈱Y◯Zホールティングス</v>
      </c>
      <c r="E7" s="133" t="str">
        <f>IF($A7="","",VLOOKUP($A7,従事者明細!$A$3:$I$52,4,FALSE))</f>
        <v>Z</v>
      </c>
      <c r="F7" s="134">
        <f>IF($A7="","",VLOOKUP($A7,従事者明細!$A$3:$I$52,6,FALSE))</f>
        <v>3</v>
      </c>
      <c r="G7" s="139">
        <f>IF($A7="","",VLOOKUP($A7,従事者明細!$A$3:$I$52,7,FALSE))</f>
        <v>26155</v>
      </c>
      <c r="H7" s="135" t="str">
        <f>IF($A7="","",VLOOKUP($A7,従事者明細!$A$3:$I$52,8,FALSE))</f>
        <v>　○○工業高校卒</v>
      </c>
      <c r="I7" s="454" t="str">
        <f>IF($A7="","",VLOOKUP($A7,従事者明細!$A$3:$I$52,9,FALSE))</f>
        <v>200*年3月</v>
      </c>
    </row>
    <row r="8" spans="1:17" ht="30" customHeight="1">
      <c r="A8" s="414">
        <v>7</v>
      </c>
      <c r="B8" s="304" t="str">
        <f>IF($A8="","",VLOOKUP($A8,従事者明細!$A$3:$I$52,2,FALSE))</f>
        <v>鈴◯　花子
（ハノイ）</v>
      </c>
      <c r="C8" s="118" t="str">
        <f>IF($A8="","",VLOOKUP($A8,従事者明細!$A$3:$I$52,3,FALSE))</f>
        <v>環境社会配慮調査</v>
      </c>
      <c r="D8" s="118" t="str">
        <f>IF($A8="","",VLOOKUP($A8,従事者明細!$A$3:$I$52,5,FALSE))</f>
        <v>DD◯コンサル㈱</v>
      </c>
      <c r="E8" s="133" t="str">
        <f>IF($A8="","",VLOOKUP($A8,従事者明細!$A$3:$I$52,4,FALSE))</f>
        <v>B-1</v>
      </c>
      <c r="F8" s="134">
        <f>IF($A8="","",VLOOKUP($A8,従事者明細!$A$3:$I$52,6,FALSE))</f>
        <v>5</v>
      </c>
      <c r="G8" s="139">
        <f>IF($A8="","",VLOOKUP($A8,従事者明細!$A$3:$I$52,7,FALSE))</f>
        <v>29423</v>
      </c>
      <c r="H8" s="135" t="str">
        <f>IF($A8="","",VLOOKUP($A8,従事者明細!$A$3:$I$52,8,FALSE))</f>
        <v xml:space="preserve"> ○○○○○大学卒</v>
      </c>
      <c r="I8" s="454" t="str">
        <f>IF($A8="","",VLOOKUP($A8,従事者明細!$A$3:$I$52,9,FALSE))</f>
        <v>200*年3月</v>
      </c>
    </row>
    <row r="9" spans="1:17" ht="30" customHeight="1">
      <c r="A9" s="414">
        <v>3</v>
      </c>
      <c r="B9" s="304" t="str">
        <f>IF($A9="","",VLOOKUP($A9,従事者明細!$A$3:$I$52,2,FALSE))</f>
        <v>△△　◯子
（神奈川）</v>
      </c>
      <c r="C9" s="118" t="str">
        <f>IF($A9="","",VLOOKUP($A9,従事者明細!$A$3:$I$52,3,FALSE))</f>
        <v>事業化調査/操作指導</v>
      </c>
      <c r="D9" s="118" t="str">
        <f>IF($A9="","",VLOOKUP($A9,従事者明細!$A$3:$I$52,5,FALSE))</f>
        <v>㈱Y◯Zホールティングス（補強：SSS大学）</v>
      </c>
      <c r="E9" s="133" t="str">
        <f>IF($A9="","",VLOOKUP($A9,従事者明細!$A$3:$I$52,4,FALSE))</f>
        <v>Z</v>
      </c>
      <c r="F9" s="134">
        <f>IF($A9="","",VLOOKUP($A9,従事者明細!$A$3:$I$52,6,FALSE))</f>
        <v>4</v>
      </c>
      <c r="G9" s="139">
        <f>IF($A9="","",VLOOKUP($A9,従事者明細!$A$3:$I$52,7,FALSE))</f>
        <v>33209</v>
      </c>
      <c r="H9" s="135" t="str">
        <f>IF($A9="","",VLOOKUP($A9,従事者明細!$A$3:$I$52,8,FALSE))</f>
        <v xml:space="preserve"> ○○○○○大学卒</v>
      </c>
      <c r="I9" s="454" t="str">
        <f>IF($A9="","",VLOOKUP($A9,従事者明細!$A$3:$I$52,9,FALSE))</f>
        <v>20**年3月</v>
      </c>
    </row>
    <row r="10" spans="1:17" ht="30" customHeight="1">
      <c r="A10" s="414">
        <v>4</v>
      </c>
      <c r="B10" s="304" t="str">
        <f>IF($A10="","",VLOOKUP($A10,従事者明細!$A$3:$I$52,2,FALSE))</f>
        <v>◯際　Ｅ郎
（東京）</v>
      </c>
      <c r="C10" s="118" t="str">
        <f>IF($A10="","",VLOOKUP($A10,従事者明細!$A$3:$I$52,3,FALSE))</f>
        <v>チーフアドバイザー/開発課題2/市場調査</v>
      </c>
      <c r="D10" s="118" t="str">
        <f>IF($A10="","",VLOOKUP($A10,従事者明細!$A$3:$I$52,5,FALSE))</f>
        <v>㈱FF◯コンサルタント</v>
      </c>
      <c r="E10" s="133" t="str">
        <f>IF($A10="","",VLOOKUP($A10,従事者明細!$A$3:$I$52,4,FALSE))</f>
        <v>A-1</v>
      </c>
      <c r="F10" s="134">
        <f>IF($A10="","",VLOOKUP($A10,従事者明細!$A$3:$I$52,6,FALSE))</f>
        <v>2</v>
      </c>
      <c r="G10" s="139">
        <f>IF($A10="","",VLOOKUP($A10,従事者明細!$A$3:$I$52,7,FALSE))</f>
        <v>24422</v>
      </c>
      <c r="H10" s="135" t="str">
        <f>IF($A10="","",VLOOKUP($A10,従事者明細!$A$3:$I$52,8,FALSE))</f>
        <v xml:space="preserve"> ○○○○○大学卒</v>
      </c>
      <c r="I10" s="454" t="str">
        <f>IF($A10="","",VLOOKUP($A10,従事者明細!$A$3:$I$52,9,FALSE))</f>
        <v>19**年3月</v>
      </c>
    </row>
    <row r="11" spans="1:17" ht="30" customHeight="1">
      <c r="A11" s="414">
        <v>5</v>
      </c>
      <c r="B11" s="304" t="str">
        <f>IF($A11="","",VLOOKUP($A11,従事者明細!$A$3:$I$52,2,FALSE))</f>
        <v>◯△　太郎
（東京）</v>
      </c>
      <c r="C11" s="118" t="str">
        <f>IF($A11="","",VLOOKUP($A11,従事者明細!$A$3:$I$52,3,FALSE))</f>
        <v>パートナー連携</v>
      </c>
      <c r="D11" s="118" t="str">
        <f>IF($A11="","",VLOOKUP($A11,従事者明細!$A$3:$I$52,5,FALSE))</f>
        <v>㈱FF◯コンサルタント</v>
      </c>
      <c r="E11" s="133" t="str">
        <f>IF($A11="","",VLOOKUP($A11,従事者明細!$A$3:$I$52,4,FALSE))</f>
        <v>A-1</v>
      </c>
      <c r="F11" s="134">
        <f>IF($A11="","",VLOOKUP($A11,従事者明細!$A$3:$I$52,6,FALSE))</f>
        <v>4</v>
      </c>
      <c r="G11" s="139">
        <f>IF($A11="","",VLOOKUP($A11,従事者明細!$A$3:$I$52,7,FALSE))</f>
        <v>24100</v>
      </c>
      <c r="H11" s="135" t="str">
        <f>IF($A11="","",VLOOKUP($A11,従事者明細!$A$3:$I$52,8,FALSE))</f>
        <v xml:space="preserve"> ○○○○○大学卒</v>
      </c>
      <c r="I11" s="454" t="str">
        <f>IF($A11="","",VLOOKUP($A11,従事者明細!$A$3:$I$52,9,FALSE))</f>
        <v>19**年3月</v>
      </c>
    </row>
    <row r="12" spans="1:17" ht="30" customHeight="1">
      <c r="A12" s="414">
        <v>8</v>
      </c>
      <c r="B12" s="304" t="str">
        <f>IF($A12="","",VLOOKUP($A12,従事者明細!$A$3:$I$52,2,FALSE))</f>
        <v>△●　次郎
（長野）</v>
      </c>
      <c r="C12" s="118" t="str">
        <f>IF($A12="","",VLOOKUP($A12,従事者明細!$A$3:$I$52,3,FALSE))</f>
        <v>運営計画/開発効果</v>
      </c>
      <c r="D12" s="118" t="str">
        <f>IF($A12="","",VLOOKUP($A12,従事者明細!$A$3:$I$52,5,FALSE))</f>
        <v>GG◯科学㈱</v>
      </c>
      <c r="E12" s="133" t="str">
        <f>IF($A12="","",VLOOKUP($A12,従事者明細!$A$3:$I$52,4,FALSE))</f>
        <v>B-2</v>
      </c>
      <c r="F12" s="134">
        <f>IF($A12="","",VLOOKUP($A12,従事者明細!$A$3:$I$52,6,FALSE))</f>
        <v>5</v>
      </c>
      <c r="G12" s="139">
        <f>IF($A12="","",VLOOKUP($A12,従事者明細!$A$3:$I$52,7,FALSE))</f>
        <v>36285</v>
      </c>
      <c r="H12" s="135" t="str">
        <f>IF($A12="","",VLOOKUP($A12,従事者明細!$A$3:$I$52,8,FALSE))</f>
        <v xml:space="preserve"> ○○○○○大学卒</v>
      </c>
      <c r="I12" s="454" t="str">
        <f>IF($A12="","",VLOOKUP($A12,従事者明細!$A$3:$I$52,9,FALSE))</f>
        <v>20**年3月</v>
      </c>
    </row>
    <row r="13" spans="1:17" ht="30" customHeight="1">
      <c r="A13" s="414">
        <v>6</v>
      </c>
      <c r="B13" s="304" t="str">
        <f>IF($A13="","",VLOOKUP($A13,従事者明細!$A$3:$I$52,2,FALSE))</f>
        <v>阿部　△△
（千葉）</v>
      </c>
      <c r="C13" s="118" t="str">
        <f>IF($A13="","",VLOOKUP($A13,従事者明細!$A$3:$I$52,3,FALSE))</f>
        <v>海外市場調査</v>
      </c>
      <c r="D13" s="118" t="str">
        <f>IF($A13="","",VLOOKUP($A13,従事者明細!$A$3:$I$52,5,FALSE))</f>
        <v>㈱FF◯コンサルタント</v>
      </c>
      <c r="E13" s="133" t="str">
        <f>IF($A13="","",VLOOKUP($A13,従事者明細!$A$3:$I$52,4,FALSE))</f>
        <v>A-1</v>
      </c>
      <c r="F13" s="134">
        <f>IF($A13="","",VLOOKUP($A13,従事者明細!$A$3:$I$52,6,FALSE))</f>
        <v>6</v>
      </c>
      <c r="G13" s="139">
        <f>IF($A13="","",VLOOKUP($A13,従事者明細!$A$3:$I$52,7,FALSE))</f>
        <v>33200</v>
      </c>
      <c r="H13" s="135" t="str">
        <f>IF($A13="","",VLOOKUP($A13,従事者明細!$A$3:$I$52,8,FALSE))</f>
        <v xml:space="preserve"> ○○○○○大学卒</v>
      </c>
      <c r="I13" s="454" t="str">
        <f>IF($A13="","",VLOOKUP($A13,従事者明細!$A$3:$I$52,9,FALSE))</f>
        <v>20**年3月</v>
      </c>
    </row>
    <row r="14" spans="1:17" ht="30" customHeight="1">
      <c r="A14" s="414">
        <v>9</v>
      </c>
      <c r="B14" s="304" t="str">
        <f>IF($A14="","",VLOOKUP($A14,従事者明細!$A$3:$I$52,2,FALSE))</f>
        <v>国際　太◯
（埼玉）</v>
      </c>
      <c r="C14" s="118" t="str">
        <f>IF($A14="","",VLOOKUP($A14,従事者明細!$A$3:$I$52,3,FALSE))</f>
        <v>法制度調査</v>
      </c>
      <c r="D14" s="118" t="str">
        <f>IF($A14="","",VLOOKUP($A14,従事者明細!$A$3:$I$52,5,FALSE))</f>
        <v>無（個人）</v>
      </c>
      <c r="E14" s="133" t="str">
        <f>IF($A14="","",VLOOKUP($A14,従事者明細!$A$3:$I$52,4,FALSE))</f>
        <v>C-1</v>
      </c>
      <c r="F14" s="134">
        <f>IF($A14="","",VLOOKUP($A14,従事者明細!$A$3:$I$52,6,FALSE))</f>
        <v>3</v>
      </c>
      <c r="G14" s="139">
        <f>IF($A14="","",VLOOKUP($A14,従事者明細!$A$3:$I$52,7,FALSE))</f>
        <v>25729</v>
      </c>
      <c r="H14" s="135" t="str">
        <f>IF($A14="","",VLOOKUP($A14,従事者明細!$A$3:$I$52,8,FALSE))</f>
        <v xml:space="preserve"> ○○○○○大学卒</v>
      </c>
      <c r="I14" s="454" t="str">
        <f>IF($A14="","",VLOOKUP($A14,従事者明細!$A$3:$I$52,9,FALSE))</f>
        <v>19**年3月</v>
      </c>
    </row>
    <row r="15" spans="1:17" ht="30" customHeight="1">
      <c r="A15" s="414">
        <v>10</v>
      </c>
      <c r="B15" s="304" t="str">
        <f>IF($A15="","",VLOOKUP($A15,従事者明細!$A$3:$I$52,2,FALSE))</f>
        <v>協力　○○
（京都）</v>
      </c>
      <c r="C15" s="118" t="str">
        <f>IF($A15="","",VLOOKUP($A15,従事者明細!$A$3:$I$52,3,FALSE))</f>
        <v>システム設計</v>
      </c>
      <c r="D15" s="118" t="str">
        <f>IF($A15="","",VLOOKUP($A15,従事者明細!$A$3:$I$52,5,FALSE))</f>
        <v>無（個人）</v>
      </c>
      <c r="E15" s="133" t="str">
        <f>IF($A15="","",VLOOKUP($A15,従事者明細!$A$3:$I$52,4,FALSE))</f>
        <v>C-2</v>
      </c>
      <c r="F15" s="134">
        <f>IF($A15="","",VLOOKUP($A15,従事者明細!$A$3:$I$52,6,FALSE))</f>
        <v>4</v>
      </c>
      <c r="G15" s="139">
        <f>IF($A15="","",VLOOKUP($A15,従事者明細!$A$3:$I$52,7,FALSE))</f>
        <v>24149</v>
      </c>
      <c r="H15" s="135" t="str">
        <f>IF($A15="","",VLOOKUP($A15,従事者明細!$A$3:$I$52,8,FALSE))</f>
        <v xml:space="preserve"> ○○○○○大学卒</v>
      </c>
      <c r="I15" s="454" t="str">
        <f>IF($A15="","",VLOOKUP($A15,従事者明細!$A$3:$I$52,9,FALSE))</f>
        <v>19**年3月</v>
      </c>
    </row>
    <row r="16" spans="1:17" ht="30" hidden="1" customHeight="1">
      <c r="A16" s="413"/>
      <c r="B16" s="376" t="str">
        <f>IF($A16="","",VLOOKUP($A16,従事者明細!$A$3:$I$52,2,FALSE))</f>
        <v/>
      </c>
      <c r="C16" s="377" t="str">
        <f>IF($A16="","",VLOOKUP($A16,従事者明細!$A$3:$I$52,3,FALSE))</f>
        <v/>
      </c>
      <c r="D16" s="420" t="str">
        <f>IF($A16="","",VLOOKUP($A16,従事者明細!$A$3:$I$52,5,FALSE))</f>
        <v/>
      </c>
      <c r="E16" s="378" t="str">
        <f>IF($A16="","",VLOOKUP($A16,従事者明細!$A$3:$I$52,4,FALSE))</f>
        <v/>
      </c>
      <c r="F16" s="379" t="str">
        <f>IF($A16="","",VLOOKUP($A16,従事者明細!$A$3:$I$52,6,FALSE))</f>
        <v/>
      </c>
      <c r="G16" s="380" t="str">
        <f>IF($A16="","",VLOOKUP($A16,従事者明細!$A$3:$I$52,7,FALSE))</f>
        <v/>
      </c>
      <c r="H16" s="381" t="str">
        <f>IF($A16="","",VLOOKUP($A16,従事者明細!$A$3:$I$52,8,FALSE))</f>
        <v/>
      </c>
      <c r="I16" s="455" t="str">
        <f>IF($A16="","",VLOOKUP($A16,従事者明細!$A$3:$I$52,9,FALSE))</f>
        <v/>
      </c>
    </row>
    <row r="17" spans="1:10" ht="30" hidden="1" customHeight="1">
      <c r="A17" s="414"/>
      <c r="B17" s="304" t="str">
        <f>IF($A17="","",VLOOKUP($A17,従事者明細!$A$3:$I$52,2,FALSE))</f>
        <v/>
      </c>
      <c r="C17" s="118" t="str">
        <f>IF($A17="","",VLOOKUP($A17,従事者明細!$A$3:$I$52,3,FALSE))</f>
        <v/>
      </c>
      <c r="D17" s="118" t="str">
        <f>IF($A17="","",VLOOKUP($A17,従事者明細!$A$3:$I$52,5,FALSE))</f>
        <v/>
      </c>
      <c r="E17" s="133" t="str">
        <f>IF($A17="","",VLOOKUP($A17,従事者明細!$A$3:$I$52,4,FALSE))</f>
        <v/>
      </c>
      <c r="F17" s="134" t="str">
        <f>IF($A17="","",VLOOKUP($A17,従事者明細!$A$3:$I$52,6,FALSE))</f>
        <v/>
      </c>
      <c r="G17" s="139" t="str">
        <f>IF($A17="","",VLOOKUP($A17,従事者明細!$A$3:$I$52,7,FALSE))</f>
        <v/>
      </c>
      <c r="H17" s="135" t="str">
        <f>IF($A17="","",VLOOKUP($A17,従事者明細!$A$3:$I$52,8,FALSE))</f>
        <v/>
      </c>
      <c r="I17" s="454" t="str">
        <f>IF($A17="","",VLOOKUP($A17,従事者明細!$A$3:$I$52,9,FALSE))</f>
        <v/>
      </c>
    </row>
    <row r="18" spans="1:10" ht="30" hidden="1" customHeight="1">
      <c r="A18" s="414"/>
      <c r="B18" s="304" t="str">
        <f>IF($A18="","",VLOOKUP($A18,従事者明細!$A$3:$I$52,2,FALSE))</f>
        <v/>
      </c>
      <c r="C18" s="118" t="str">
        <f>IF($A18="","",VLOOKUP($A18,従事者明細!$A$3:$I$52,3,FALSE))</f>
        <v/>
      </c>
      <c r="D18" s="118" t="str">
        <f>IF($A18="","",VLOOKUP($A18,従事者明細!$A$3:$I$52,5,FALSE))</f>
        <v/>
      </c>
      <c r="E18" s="133" t="str">
        <f>IF($A18="","",VLOOKUP($A18,従事者明細!$A$3:$I$52,4,FALSE))</f>
        <v/>
      </c>
      <c r="F18" s="134" t="str">
        <f>IF($A18="","",VLOOKUP($A18,従事者明細!$A$3:$I$52,6,FALSE))</f>
        <v/>
      </c>
      <c r="G18" s="139" t="str">
        <f>IF($A18="","",VLOOKUP($A18,従事者明細!$A$3:$I$52,7,FALSE))</f>
        <v/>
      </c>
      <c r="H18" s="135" t="str">
        <f>IF($A18="","",VLOOKUP($A18,従事者明細!$A$3:$I$52,8,FALSE))</f>
        <v/>
      </c>
      <c r="I18" s="454" t="str">
        <f>IF($A18="","",VLOOKUP($A18,従事者明細!$A$3:$I$52,9,FALSE))</f>
        <v/>
      </c>
    </row>
    <row r="19" spans="1:10" ht="30" hidden="1" customHeight="1">
      <c r="A19" s="414"/>
      <c r="B19" s="304" t="str">
        <f>IF($A19="","",VLOOKUP($A19,従事者明細!$A$3:$I$52,2,FALSE))</f>
        <v/>
      </c>
      <c r="C19" s="118" t="str">
        <f>IF($A19="","",VLOOKUP($A19,従事者明細!$A$3:$I$52,3,FALSE))</f>
        <v/>
      </c>
      <c r="D19" s="118" t="str">
        <f>IF($A19="","",VLOOKUP($A19,従事者明細!$A$3:$I$52,5,FALSE))</f>
        <v/>
      </c>
      <c r="E19" s="133" t="str">
        <f>IF($A19="","",VLOOKUP($A19,従事者明細!$A$3:$I$52,4,FALSE))</f>
        <v/>
      </c>
      <c r="F19" s="134" t="str">
        <f>IF($A19="","",VLOOKUP($A19,従事者明細!$A$3:$I$52,6,FALSE))</f>
        <v/>
      </c>
      <c r="G19" s="139" t="str">
        <f>IF($A19="","",VLOOKUP($A19,従事者明細!$A$3:$I$52,7,FALSE))</f>
        <v/>
      </c>
      <c r="H19" s="135" t="str">
        <f>IF($A19="","",VLOOKUP($A19,従事者明細!$A$3:$I$52,8,FALSE))</f>
        <v/>
      </c>
      <c r="I19" s="454" t="str">
        <f>IF($A19="","",VLOOKUP($A19,従事者明細!$A$3:$I$52,9,FALSE))</f>
        <v/>
      </c>
    </row>
    <row r="20" spans="1:10" ht="30" hidden="1" customHeight="1">
      <c r="A20" s="414"/>
      <c r="B20" s="304" t="str">
        <f>IF($A20="","",VLOOKUP($A20,従事者明細!$A$3:$I$52,2,FALSE))</f>
        <v/>
      </c>
      <c r="C20" s="118" t="str">
        <f>IF($A20="","",VLOOKUP($A20,従事者明細!$A$3:$I$52,3,FALSE))</f>
        <v/>
      </c>
      <c r="D20" s="118" t="str">
        <f>IF($A20="","",VLOOKUP($A20,従事者明細!$A$3:$I$52,5,FALSE))</f>
        <v/>
      </c>
      <c r="E20" s="133" t="str">
        <f>IF($A20="","",VLOOKUP($A20,従事者明細!$A$3:$I$52,4,FALSE))</f>
        <v/>
      </c>
      <c r="F20" s="134" t="str">
        <f>IF($A20="","",VLOOKUP($A20,従事者明細!$A$3:$I$52,6,FALSE))</f>
        <v/>
      </c>
      <c r="G20" s="139" t="str">
        <f>IF($A20="","",VLOOKUP($A20,従事者明細!$A$3:$I$52,7,FALSE))</f>
        <v/>
      </c>
      <c r="H20" s="135" t="str">
        <f>IF($A20="","",VLOOKUP($A20,従事者明細!$A$3:$I$52,8,FALSE))</f>
        <v/>
      </c>
      <c r="I20" s="454" t="str">
        <f>IF($A20="","",VLOOKUP($A20,従事者明細!$A$3:$I$52,9,FALSE))</f>
        <v/>
      </c>
    </row>
    <row r="21" spans="1:10" ht="30" hidden="1" customHeight="1">
      <c r="A21" s="414"/>
      <c r="B21" s="304" t="str">
        <f>IF($A21="","",VLOOKUP($A21,従事者明細!$A$3:$I$52,2,FALSE))</f>
        <v/>
      </c>
      <c r="C21" s="118" t="str">
        <f>IF($A21="","",VLOOKUP($A21,従事者明細!$A$3:$I$52,3,FALSE))</f>
        <v/>
      </c>
      <c r="D21" s="118" t="str">
        <f>IF($A21="","",VLOOKUP($A21,従事者明細!$A$3:$I$52,5,FALSE))</f>
        <v/>
      </c>
      <c r="E21" s="133" t="str">
        <f>IF($A21="","",VLOOKUP($A21,従事者明細!$A$3:$I$52,4,FALSE))</f>
        <v/>
      </c>
      <c r="F21" s="134" t="str">
        <f>IF($A21="","",VLOOKUP($A21,従事者明細!$A$3:$I$52,6,FALSE))</f>
        <v/>
      </c>
      <c r="G21" s="139" t="str">
        <f>IF($A21="","",VLOOKUP($A21,従事者明細!$A$3:$I$52,7,FALSE))</f>
        <v/>
      </c>
      <c r="H21" s="135" t="str">
        <f>IF($A21="","",VLOOKUP($A21,従事者明細!$A$3:$I$52,8,FALSE))</f>
        <v/>
      </c>
      <c r="I21" s="454" t="str">
        <f>IF($A21="","",VLOOKUP($A21,従事者明細!$A$3:$I$52,9,FALSE))</f>
        <v/>
      </c>
    </row>
    <row r="22" spans="1:10" ht="30" hidden="1" customHeight="1">
      <c r="A22" s="414"/>
      <c r="B22" s="304" t="str">
        <f>IF($A22="","",VLOOKUP($A22,従事者明細!$A$3:$I$52,2,FALSE))</f>
        <v/>
      </c>
      <c r="C22" s="118" t="str">
        <f>IF($A22="","",VLOOKUP($A22,従事者明細!$A$3:$I$52,3,FALSE))</f>
        <v/>
      </c>
      <c r="D22" s="118" t="str">
        <f>IF($A22="","",VLOOKUP($A22,従事者明細!$A$3:$I$52,5,FALSE))</f>
        <v/>
      </c>
      <c r="E22" s="133" t="str">
        <f>IF($A22="","",VLOOKUP($A22,従事者明細!$A$3:$I$52,4,FALSE))</f>
        <v/>
      </c>
      <c r="F22" s="134" t="str">
        <f>IF($A22="","",VLOOKUP($A22,従事者明細!$A$3:$I$52,6,FALSE))</f>
        <v/>
      </c>
      <c r="G22" s="139" t="str">
        <f>IF($A22="","",VLOOKUP($A22,従事者明細!$A$3:$I$52,7,FALSE))</f>
        <v/>
      </c>
      <c r="H22" s="135" t="str">
        <f>IF($A22="","",VLOOKUP($A22,従事者明細!$A$3:$I$52,8,FALSE))</f>
        <v/>
      </c>
      <c r="I22" s="454" t="str">
        <f>IF($A22="","",VLOOKUP($A22,従事者明細!$A$3:$I$52,9,FALSE))</f>
        <v/>
      </c>
    </row>
    <row r="23" spans="1:10" ht="30" hidden="1" customHeight="1">
      <c r="A23" s="414"/>
      <c r="B23" s="304" t="str">
        <f>IF($A23="","",VLOOKUP($A23,従事者明細!$A$3:$I$52,2,FALSE))</f>
        <v/>
      </c>
      <c r="C23" s="118" t="str">
        <f>IF($A23="","",VLOOKUP($A23,従事者明細!$A$3:$I$52,3,FALSE))</f>
        <v/>
      </c>
      <c r="D23" s="118" t="str">
        <f>IF($A23="","",VLOOKUP($A23,従事者明細!$A$3:$I$52,5,FALSE))</f>
        <v/>
      </c>
      <c r="E23" s="133" t="str">
        <f>IF($A23="","",VLOOKUP($A23,従事者明細!$A$3:$I$52,4,FALSE))</f>
        <v/>
      </c>
      <c r="F23" s="134" t="str">
        <f>IF($A23="","",VLOOKUP($A23,従事者明細!$A$3:$I$52,6,FALSE))</f>
        <v/>
      </c>
      <c r="G23" s="139" t="str">
        <f>IF($A23="","",VLOOKUP($A23,従事者明細!$A$3:$I$52,7,FALSE))</f>
        <v/>
      </c>
      <c r="H23" s="135" t="str">
        <f>IF($A23="","",VLOOKUP($A23,従事者明細!$A$3:$I$52,8,FALSE))</f>
        <v/>
      </c>
      <c r="I23" s="454" t="str">
        <f>IF($A23="","",VLOOKUP($A23,従事者明細!$A$3:$I$52,9,FALSE))</f>
        <v/>
      </c>
    </row>
    <row r="24" spans="1:10" ht="30" hidden="1" customHeight="1">
      <c r="A24" s="414"/>
      <c r="B24" s="304" t="str">
        <f>IF($A24="","",VLOOKUP($A24,従事者明細!$A$3:$I$52,2,FALSE))</f>
        <v/>
      </c>
      <c r="C24" s="118" t="str">
        <f>IF($A24="","",VLOOKUP($A24,従事者明細!$A$3:$I$52,3,FALSE))</f>
        <v/>
      </c>
      <c r="D24" s="118" t="str">
        <f>IF($A24="","",VLOOKUP($A24,従事者明細!$A$3:$I$52,5,FALSE))</f>
        <v/>
      </c>
      <c r="E24" s="133" t="str">
        <f>IF($A24="","",VLOOKUP($A24,従事者明細!$A$3:$I$52,4,FALSE))</f>
        <v/>
      </c>
      <c r="F24" s="134" t="str">
        <f>IF($A24="","",VLOOKUP($A24,従事者明細!$A$3:$I$52,6,FALSE))</f>
        <v/>
      </c>
      <c r="G24" s="139" t="str">
        <f>IF($A24="","",VLOOKUP($A24,従事者明細!$A$3:$I$52,7,FALSE))</f>
        <v/>
      </c>
      <c r="H24" s="135" t="str">
        <f>IF($A24="","",VLOOKUP($A24,従事者明細!$A$3:$I$52,8,FALSE))</f>
        <v/>
      </c>
      <c r="I24" s="454" t="str">
        <f>IF($A24="","",VLOOKUP($A24,従事者明細!$A$3:$I$52,9,FALSE))</f>
        <v/>
      </c>
    </row>
    <row r="25" spans="1:10" ht="30" customHeight="1" thickBot="1">
      <c r="A25" s="415"/>
      <c r="B25" s="382" t="str">
        <f>IF($A25="","",VLOOKUP($A25,従事者明細!$A$3:$I$52,2,FALSE))</f>
        <v/>
      </c>
      <c r="C25" s="383" t="str">
        <f>IF($A25="","",VLOOKUP($A25,従事者明細!$A$3:$I$52,3,FALSE))</f>
        <v/>
      </c>
      <c r="D25" s="383" t="str">
        <f>IF($A25="","",VLOOKUP($A25,従事者明細!$A$3:$I$52,5,FALSE))</f>
        <v/>
      </c>
      <c r="E25" s="421" t="str">
        <f>IF($A25="","",VLOOKUP($A25,従事者明細!$A$3:$I$52,4,FALSE))</f>
        <v/>
      </c>
      <c r="F25" s="384" t="str">
        <f>IF($A25="","",VLOOKUP($A25,従事者明細!$A$3:$I$52,6,FALSE))</f>
        <v/>
      </c>
      <c r="G25" s="385" t="str">
        <f>IF($A25="","",VLOOKUP($A25,従事者明細!$A$3:$I$52,7,FALSE))</f>
        <v/>
      </c>
      <c r="H25" s="386" t="str">
        <f>IF($A25="","",VLOOKUP($A25,従事者明細!$A$3:$I$52,8,FALSE))</f>
        <v/>
      </c>
      <c r="I25" s="456" t="str">
        <f>IF($A25="","",VLOOKUP($A25,従事者明細!$A$3:$I$52,9,FALSE))</f>
        <v/>
      </c>
    </row>
    <row r="26" spans="1:10">
      <c r="B26" s="129"/>
      <c r="C26" s="129"/>
      <c r="D26" s="129"/>
      <c r="E26" s="129"/>
      <c r="F26" s="129"/>
      <c r="G26" s="129"/>
      <c r="H26" s="129"/>
      <c r="I26" s="129"/>
      <c r="J26" s="131"/>
    </row>
    <row r="27" spans="1:10">
      <c r="B27" s="128"/>
      <c r="C27" s="128"/>
      <c r="D27" s="128"/>
      <c r="E27" s="129"/>
      <c r="F27" s="129"/>
      <c r="G27" s="128"/>
      <c r="H27" s="128"/>
      <c r="I27" s="129"/>
    </row>
    <row r="28" spans="1:10">
      <c r="B28" s="471"/>
      <c r="C28" s="471"/>
      <c r="D28" s="471"/>
      <c r="E28" s="471"/>
      <c r="F28" s="471"/>
      <c r="G28" s="471"/>
      <c r="H28" s="471"/>
      <c r="I28" s="471"/>
    </row>
    <row r="29" spans="1:10">
      <c r="B29" s="130"/>
    </row>
    <row r="30" spans="1:10">
      <c r="B30" s="130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F31" sqref="F31"/>
    </sheetView>
  </sheetViews>
  <sheetFormatPr defaultRowHeight="12"/>
  <cols>
    <col min="1" max="1" width="7.5" style="140" customWidth="1"/>
    <col min="2" max="2" width="8.25" style="140" customWidth="1"/>
    <col min="3" max="3" width="4.875" style="140" customWidth="1"/>
    <col min="4" max="4" width="32.125" style="140" customWidth="1"/>
    <col min="5" max="8" width="17" style="140" customWidth="1"/>
    <col min="9" max="9" width="6.375" style="140" customWidth="1"/>
    <col min="10" max="256" width="9" style="140"/>
    <col min="257" max="257" width="7.5" style="140" customWidth="1"/>
    <col min="258" max="258" width="8.25" style="140" customWidth="1"/>
    <col min="259" max="259" width="4.875" style="140" customWidth="1"/>
    <col min="260" max="260" width="32.125" style="140" customWidth="1"/>
    <col min="261" max="264" width="17" style="140" customWidth="1"/>
    <col min="265" max="265" width="6.375" style="140" customWidth="1"/>
    <col min="266" max="512" width="9" style="140"/>
    <col min="513" max="513" width="7.5" style="140" customWidth="1"/>
    <col min="514" max="514" width="8.25" style="140" customWidth="1"/>
    <col min="515" max="515" width="4.875" style="140" customWidth="1"/>
    <col min="516" max="516" width="32.125" style="140" customWidth="1"/>
    <col min="517" max="520" width="17" style="140" customWidth="1"/>
    <col min="521" max="521" width="6.375" style="140" customWidth="1"/>
    <col min="522" max="768" width="9" style="140"/>
    <col min="769" max="769" width="7.5" style="140" customWidth="1"/>
    <col min="770" max="770" width="8.25" style="140" customWidth="1"/>
    <col min="771" max="771" width="4.875" style="140" customWidth="1"/>
    <col min="772" max="772" width="32.125" style="140" customWidth="1"/>
    <col min="773" max="776" width="17" style="140" customWidth="1"/>
    <col min="777" max="777" width="6.375" style="140" customWidth="1"/>
    <col min="778" max="1024" width="9" style="140"/>
    <col min="1025" max="1025" width="7.5" style="140" customWidth="1"/>
    <col min="1026" max="1026" width="8.25" style="140" customWidth="1"/>
    <col min="1027" max="1027" width="4.875" style="140" customWidth="1"/>
    <col min="1028" max="1028" width="32.125" style="140" customWidth="1"/>
    <col min="1029" max="1032" width="17" style="140" customWidth="1"/>
    <col min="1033" max="1033" width="6.375" style="140" customWidth="1"/>
    <col min="1034" max="1280" width="9" style="140"/>
    <col min="1281" max="1281" width="7.5" style="140" customWidth="1"/>
    <col min="1282" max="1282" width="8.25" style="140" customWidth="1"/>
    <col min="1283" max="1283" width="4.875" style="140" customWidth="1"/>
    <col min="1284" max="1284" width="32.125" style="140" customWidth="1"/>
    <col min="1285" max="1288" width="17" style="140" customWidth="1"/>
    <col min="1289" max="1289" width="6.375" style="140" customWidth="1"/>
    <col min="1290" max="1536" width="9" style="140"/>
    <col min="1537" max="1537" width="7.5" style="140" customWidth="1"/>
    <col min="1538" max="1538" width="8.25" style="140" customWidth="1"/>
    <col min="1539" max="1539" width="4.875" style="140" customWidth="1"/>
    <col min="1540" max="1540" width="32.125" style="140" customWidth="1"/>
    <col min="1541" max="1544" width="17" style="140" customWidth="1"/>
    <col min="1545" max="1545" width="6.375" style="140" customWidth="1"/>
    <col min="1546" max="1792" width="9" style="140"/>
    <col min="1793" max="1793" width="7.5" style="140" customWidth="1"/>
    <col min="1794" max="1794" width="8.25" style="140" customWidth="1"/>
    <col min="1795" max="1795" width="4.875" style="140" customWidth="1"/>
    <col min="1796" max="1796" width="32.125" style="140" customWidth="1"/>
    <col min="1797" max="1800" width="17" style="140" customWidth="1"/>
    <col min="1801" max="1801" width="6.375" style="140" customWidth="1"/>
    <col min="1802" max="2048" width="9" style="140"/>
    <col min="2049" max="2049" width="7.5" style="140" customWidth="1"/>
    <col min="2050" max="2050" width="8.25" style="140" customWidth="1"/>
    <col min="2051" max="2051" width="4.875" style="140" customWidth="1"/>
    <col min="2052" max="2052" width="32.125" style="140" customWidth="1"/>
    <col min="2053" max="2056" width="17" style="140" customWidth="1"/>
    <col min="2057" max="2057" width="6.375" style="140" customWidth="1"/>
    <col min="2058" max="2304" width="9" style="140"/>
    <col min="2305" max="2305" width="7.5" style="140" customWidth="1"/>
    <col min="2306" max="2306" width="8.25" style="140" customWidth="1"/>
    <col min="2307" max="2307" width="4.875" style="140" customWidth="1"/>
    <col min="2308" max="2308" width="32.125" style="140" customWidth="1"/>
    <col min="2309" max="2312" width="17" style="140" customWidth="1"/>
    <col min="2313" max="2313" width="6.375" style="140" customWidth="1"/>
    <col min="2314" max="2560" width="9" style="140"/>
    <col min="2561" max="2561" width="7.5" style="140" customWidth="1"/>
    <col min="2562" max="2562" width="8.25" style="140" customWidth="1"/>
    <col min="2563" max="2563" width="4.875" style="140" customWidth="1"/>
    <col min="2564" max="2564" width="32.125" style="140" customWidth="1"/>
    <col min="2565" max="2568" width="17" style="140" customWidth="1"/>
    <col min="2569" max="2569" width="6.375" style="140" customWidth="1"/>
    <col min="2570" max="2816" width="9" style="140"/>
    <col min="2817" max="2817" width="7.5" style="140" customWidth="1"/>
    <col min="2818" max="2818" width="8.25" style="140" customWidth="1"/>
    <col min="2819" max="2819" width="4.875" style="140" customWidth="1"/>
    <col min="2820" max="2820" width="32.125" style="140" customWidth="1"/>
    <col min="2821" max="2824" width="17" style="140" customWidth="1"/>
    <col min="2825" max="2825" width="6.375" style="140" customWidth="1"/>
    <col min="2826" max="3072" width="9" style="140"/>
    <col min="3073" max="3073" width="7.5" style="140" customWidth="1"/>
    <col min="3074" max="3074" width="8.25" style="140" customWidth="1"/>
    <col min="3075" max="3075" width="4.875" style="140" customWidth="1"/>
    <col min="3076" max="3076" width="32.125" style="140" customWidth="1"/>
    <col min="3077" max="3080" width="17" style="140" customWidth="1"/>
    <col min="3081" max="3081" width="6.375" style="140" customWidth="1"/>
    <col min="3082" max="3328" width="9" style="140"/>
    <col min="3329" max="3329" width="7.5" style="140" customWidth="1"/>
    <col min="3330" max="3330" width="8.25" style="140" customWidth="1"/>
    <col min="3331" max="3331" width="4.875" style="140" customWidth="1"/>
    <col min="3332" max="3332" width="32.125" style="140" customWidth="1"/>
    <col min="3333" max="3336" width="17" style="140" customWidth="1"/>
    <col min="3337" max="3337" width="6.375" style="140" customWidth="1"/>
    <col min="3338" max="3584" width="9" style="140"/>
    <col min="3585" max="3585" width="7.5" style="140" customWidth="1"/>
    <col min="3586" max="3586" width="8.25" style="140" customWidth="1"/>
    <col min="3587" max="3587" width="4.875" style="140" customWidth="1"/>
    <col min="3588" max="3588" width="32.125" style="140" customWidth="1"/>
    <col min="3589" max="3592" width="17" style="140" customWidth="1"/>
    <col min="3593" max="3593" width="6.375" style="140" customWidth="1"/>
    <col min="3594" max="3840" width="9" style="140"/>
    <col min="3841" max="3841" width="7.5" style="140" customWidth="1"/>
    <col min="3842" max="3842" width="8.25" style="140" customWidth="1"/>
    <col min="3843" max="3843" width="4.875" style="140" customWidth="1"/>
    <col min="3844" max="3844" width="32.125" style="140" customWidth="1"/>
    <col min="3845" max="3848" width="17" style="140" customWidth="1"/>
    <col min="3849" max="3849" width="6.375" style="140" customWidth="1"/>
    <col min="3850" max="4096" width="9" style="140"/>
    <col min="4097" max="4097" width="7.5" style="140" customWidth="1"/>
    <col min="4098" max="4098" width="8.25" style="140" customWidth="1"/>
    <col min="4099" max="4099" width="4.875" style="140" customWidth="1"/>
    <col min="4100" max="4100" width="32.125" style="140" customWidth="1"/>
    <col min="4101" max="4104" width="17" style="140" customWidth="1"/>
    <col min="4105" max="4105" width="6.375" style="140" customWidth="1"/>
    <col min="4106" max="4352" width="9" style="140"/>
    <col min="4353" max="4353" width="7.5" style="140" customWidth="1"/>
    <col min="4354" max="4354" width="8.25" style="140" customWidth="1"/>
    <col min="4355" max="4355" width="4.875" style="140" customWidth="1"/>
    <col min="4356" max="4356" width="32.125" style="140" customWidth="1"/>
    <col min="4357" max="4360" width="17" style="140" customWidth="1"/>
    <col min="4361" max="4361" width="6.375" style="140" customWidth="1"/>
    <col min="4362" max="4608" width="9" style="140"/>
    <col min="4609" max="4609" width="7.5" style="140" customWidth="1"/>
    <col min="4610" max="4610" width="8.25" style="140" customWidth="1"/>
    <col min="4611" max="4611" width="4.875" style="140" customWidth="1"/>
    <col min="4612" max="4612" width="32.125" style="140" customWidth="1"/>
    <col min="4613" max="4616" width="17" style="140" customWidth="1"/>
    <col min="4617" max="4617" width="6.375" style="140" customWidth="1"/>
    <col min="4618" max="4864" width="9" style="140"/>
    <col min="4865" max="4865" width="7.5" style="140" customWidth="1"/>
    <col min="4866" max="4866" width="8.25" style="140" customWidth="1"/>
    <col min="4867" max="4867" width="4.875" style="140" customWidth="1"/>
    <col min="4868" max="4868" width="32.125" style="140" customWidth="1"/>
    <col min="4869" max="4872" width="17" style="140" customWidth="1"/>
    <col min="4873" max="4873" width="6.375" style="140" customWidth="1"/>
    <col min="4874" max="5120" width="9" style="140"/>
    <col min="5121" max="5121" width="7.5" style="140" customWidth="1"/>
    <col min="5122" max="5122" width="8.25" style="140" customWidth="1"/>
    <col min="5123" max="5123" width="4.875" style="140" customWidth="1"/>
    <col min="5124" max="5124" width="32.125" style="140" customWidth="1"/>
    <col min="5125" max="5128" width="17" style="140" customWidth="1"/>
    <col min="5129" max="5129" width="6.375" style="140" customWidth="1"/>
    <col min="5130" max="5376" width="9" style="140"/>
    <col min="5377" max="5377" width="7.5" style="140" customWidth="1"/>
    <col min="5378" max="5378" width="8.25" style="140" customWidth="1"/>
    <col min="5379" max="5379" width="4.875" style="140" customWidth="1"/>
    <col min="5380" max="5380" width="32.125" style="140" customWidth="1"/>
    <col min="5381" max="5384" width="17" style="140" customWidth="1"/>
    <col min="5385" max="5385" width="6.375" style="140" customWidth="1"/>
    <col min="5386" max="5632" width="9" style="140"/>
    <col min="5633" max="5633" width="7.5" style="140" customWidth="1"/>
    <col min="5634" max="5634" width="8.25" style="140" customWidth="1"/>
    <col min="5635" max="5635" width="4.875" style="140" customWidth="1"/>
    <col min="5636" max="5636" width="32.125" style="140" customWidth="1"/>
    <col min="5637" max="5640" width="17" style="140" customWidth="1"/>
    <col min="5641" max="5641" width="6.375" style="140" customWidth="1"/>
    <col min="5642" max="5888" width="9" style="140"/>
    <col min="5889" max="5889" width="7.5" style="140" customWidth="1"/>
    <col min="5890" max="5890" width="8.25" style="140" customWidth="1"/>
    <col min="5891" max="5891" width="4.875" style="140" customWidth="1"/>
    <col min="5892" max="5892" width="32.125" style="140" customWidth="1"/>
    <col min="5893" max="5896" width="17" style="140" customWidth="1"/>
    <col min="5897" max="5897" width="6.375" style="140" customWidth="1"/>
    <col min="5898" max="6144" width="9" style="140"/>
    <col min="6145" max="6145" width="7.5" style="140" customWidth="1"/>
    <col min="6146" max="6146" width="8.25" style="140" customWidth="1"/>
    <col min="6147" max="6147" width="4.875" style="140" customWidth="1"/>
    <col min="6148" max="6148" width="32.125" style="140" customWidth="1"/>
    <col min="6149" max="6152" width="17" style="140" customWidth="1"/>
    <col min="6153" max="6153" width="6.375" style="140" customWidth="1"/>
    <col min="6154" max="6400" width="9" style="140"/>
    <col min="6401" max="6401" width="7.5" style="140" customWidth="1"/>
    <col min="6402" max="6402" width="8.25" style="140" customWidth="1"/>
    <col min="6403" max="6403" width="4.875" style="140" customWidth="1"/>
    <col min="6404" max="6404" width="32.125" style="140" customWidth="1"/>
    <col min="6405" max="6408" width="17" style="140" customWidth="1"/>
    <col min="6409" max="6409" width="6.375" style="140" customWidth="1"/>
    <col min="6410" max="6656" width="9" style="140"/>
    <col min="6657" max="6657" width="7.5" style="140" customWidth="1"/>
    <col min="6658" max="6658" width="8.25" style="140" customWidth="1"/>
    <col min="6659" max="6659" width="4.875" style="140" customWidth="1"/>
    <col min="6660" max="6660" width="32.125" style="140" customWidth="1"/>
    <col min="6661" max="6664" width="17" style="140" customWidth="1"/>
    <col min="6665" max="6665" width="6.375" style="140" customWidth="1"/>
    <col min="6666" max="6912" width="9" style="140"/>
    <col min="6913" max="6913" width="7.5" style="140" customWidth="1"/>
    <col min="6914" max="6914" width="8.25" style="140" customWidth="1"/>
    <col min="6915" max="6915" width="4.875" style="140" customWidth="1"/>
    <col min="6916" max="6916" width="32.125" style="140" customWidth="1"/>
    <col min="6917" max="6920" width="17" style="140" customWidth="1"/>
    <col min="6921" max="6921" width="6.375" style="140" customWidth="1"/>
    <col min="6922" max="7168" width="9" style="140"/>
    <col min="7169" max="7169" width="7.5" style="140" customWidth="1"/>
    <col min="7170" max="7170" width="8.25" style="140" customWidth="1"/>
    <col min="7171" max="7171" width="4.875" style="140" customWidth="1"/>
    <col min="7172" max="7172" width="32.125" style="140" customWidth="1"/>
    <col min="7173" max="7176" width="17" style="140" customWidth="1"/>
    <col min="7177" max="7177" width="6.375" style="140" customWidth="1"/>
    <col min="7178" max="7424" width="9" style="140"/>
    <col min="7425" max="7425" width="7.5" style="140" customWidth="1"/>
    <col min="7426" max="7426" width="8.25" style="140" customWidth="1"/>
    <col min="7427" max="7427" width="4.875" style="140" customWidth="1"/>
    <col min="7428" max="7428" width="32.125" style="140" customWidth="1"/>
    <col min="7429" max="7432" width="17" style="140" customWidth="1"/>
    <col min="7433" max="7433" width="6.375" style="140" customWidth="1"/>
    <col min="7434" max="7680" width="9" style="140"/>
    <col min="7681" max="7681" width="7.5" style="140" customWidth="1"/>
    <col min="7682" max="7682" width="8.25" style="140" customWidth="1"/>
    <col min="7683" max="7683" width="4.875" style="140" customWidth="1"/>
    <col min="7684" max="7684" width="32.125" style="140" customWidth="1"/>
    <col min="7685" max="7688" width="17" style="140" customWidth="1"/>
    <col min="7689" max="7689" width="6.375" style="140" customWidth="1"/>
    <col min="7690" max="7936" width="9" style="140"/>
    <col min="7937" max="7937" width="7.5" style="140" customWidth="1"/>
    <col min="7938" max="7938" width="8.25" style="140" customWidth="1"/>
    <col min="7939" max="7939" width="4.875" style="140" customWidth="1"/>
    <col min="7940" max="7940" width="32.125" style="140" customWidth="1"/>
    <col min="7941" max="7944" width="17" style="140" customWidth="1"/>
    <col min="7945" max="7945" width="6.375" style="140" customWidth="1"/>
    <col min="7946" max="8192" width="9" style="140"/>
    <col min="8193" max="8193" width="7.5" style="140" customWidth="1"/>
    <col min="8194" max="8194" width="8.25" style="140" customWidth="1"/>
    <col min="8195" max="8195" width="4.875" style="140" customWidth="1"/>
    <col min="8196" max="8196" width="32.125" style="140" customWidth="1"/>
    <col min="8197" max="8200" width="17" style="140" customWidth="1"/>
    <col min="8201" max="8201" width="6.375" style="140" customWidth="1"/>
    <col min="8202" max="8448" width="9" style="140"/>
    <col min="8449" max="8449" width="7.5" style="140" customWidth="1"/>
    <col min="8450" max="8450" width="8.25" style="140" customWidth="1"/>
    <col min="8451" max="8451" width="4.875" style="140" customWidth="1"/>
    <col min="8452" max="8452" width="32.125" style="140" customWidth="1"/>
    <col min="8453" max="8456" width="17" style="140" customWidth="1"/>
    <col min="8457" max="8457" width="6.375" style="140" customWidth="1"/>
    <col min="8458" max="8704" width="9" style="140"/>
    <col min="8705" max="8705" width="7.5" style="140" customWidth="1"/>
    <col min="8706" max="8706" width="8.25" style="140" customWidth="1"/>
    <col min="8707" max="8707" width="4.875" style="140" customWidth="1"/>
    <col min="8708" max="8708" width="32.125" style="140" customWidth="1"/>
    <col min="8709" max="8712" width="17" style="140" customWidth="1"/>
    <col min="8713" max="8713" width="6.375" style="140" customWidth="1"/>
    <col min="8714" max="8960" width="9" style="140"/>
    <col min="8961" max="8961" width="7.5" style="140" customWidth="1"/>
    <col min="8962" max="8962" width="8.25" style="140" customWidth="1"/>
    <col min="8963" max="8963" width="4.875" style="140" customWidth="1"/>
    <col min="8964" max="8964" width="32.125" style="140" customWidth="1"/>
    <col min="8965" max="8968" width="17" style="140" customWidth="1"/>
    <col min="8969" max="8969" width="6.375" style="140" customWidth="1"/>
    <col min="8970" max="9216" width="9" style="140"/>
    <col min="9217" max="9217" width="7.5" style="140" customWidth="1"/>
    <col min="9218" max="9218" width="8.25" style="140" customWidth="1"/>
    <col min="9219" max="9219" width="4.875" style="140" customWidth="1"/>
    <col min="9220" max="9220" width="32.125" style="140" customWidth="1"/>
    <col min="9221" max="9224" width="17" style="140" customWidth="1"/>
    <col min="9225" max="9225" width="6.375" style="140" customWidth="1"/>
    <col min="9226" max="9472" width="9" style="140"/>
    <col min="9473" max="9473" width="7.5" style="140" customWidth="1"/>
    <col min="9474" max="9474" width="8.25" style="140" customWidth="1"/>
    <col min="9475" max="9475" width="4.875" style="140" customWidth="1"/>
    <col min="9476" max="9476" width="32.125" style="140" customWidth="1"/>
    <col min="9477" max="9480" width="17" style="140" customWidth="1"/>
    <col min="9481" max="9481" width="6.375" style="140" customWidth="1"/>
    <col min="9482" max="9728" width="9" style="140"/>
    <col min="9729" max="9729" width="7.5" style="140" customWidth="1"/>
    <col min="9730" max="9730" width="8.25" style="140" customWidth="1"/>
    <col min="9731" max="9731" width="4.875" style="140" customWidth="1"/>
    <col min="9732" max="9732" width="32.125" style="140" customWidth="1"/>
    <col min="9733" max="9736" width="17" style="140" customWidth="1"/>
    <col min="9737" max="9737" width="6.375" style="140" customWidth="1"/>
    <col min="9738" max="9984" width="9" style="140"/>
    <col min="9985" max="9985" width="7.5" style="140" customWidth="1"/>
    <col min="9986" max="9986" width="8.25" style="140" customWidth="1"/>
    <col min="9987" max="9987" width="4.875" style="140" customWidth="1"/>
    <col min="9988" max="9988" width="32.125" style="140" customWidth="1"/>
    <col min="9989" max="9992" width="17" style="140" customWidth="1"/>
    <col min="9993" max="9993" width="6.375" style="140" customWidth="1"/>
    <col min="9994" max="10240" width="9" style="140"/>
    <col min="10241" max="10241" width="7.5" style="140" customWidth="1"/>
    <col min="10242" max="10242" width="8.25" style="140" customWidth="1"/>
    <col min="10243" max="10243" width="4.875" style="140" customWidth="1"/>
    <col min="10244" max="10244" width="32.125" style="140" customWidth="1"/>
    <col min="10245" max="10248" width="17" style="140" customWidth="1"/>
    <col min="10249" max="10249" width="6.375" style="140" customWidth="1"/>
    <col min="10250" max="10496" width="9" style="140"/>
    <col min="10497" max="10497" width="7.5" style="140" customWidth="1"/>
    <col min="10498" max="10498" width="8.25" style="140" customWidth="1"/>
    <col min="10499" max="10499" width="4.875" style="140" customWidth="1"/>
    <col min="10500" max="10500" width="32.125" style="140" customWidth="1"/>
    <col min="10501" max="10504" width="17" style="140" customWidth="1"/>
    <col min="10505" max="10505" width="6.375" style="140" customWidth="1"/>
    <col min="10506" max="10752" width="9" style="140"/>
    <col min="10753" max="10753" width="7.5" style="140" customWidth="1"/>
    <col min="10754" max="10754" width="8.25" style="140" customWidth="1"/>
    <col min="10755" max="10755" width="4.875" style="140" customWidth="1"/>
    <col min="10756" max="10756" width="32.125" style="140" customWidth="1"/>
    <col min="10757" max="10760" width="17" style="140" customWidth="1"/>
    <col min="10761" max="10761" width="6.375" style="140" customWidth="1"/>
    <col min="10762" max="11008" width="9" style="140"/>
    <col min="11009" max="11009" width="7.5" style="140" customWidth="1"/>
    <col min="11010" max="11010" width="8.25" style="140" customWidth="1"/>
    <col min="11011" max="11011" width="4.875" style="140" customWidth="1"/>
    <col min="11012" max="11012" width="32.125" style="140" customWidth="1"/>
    <col min="11013" max="11016" width="17" style="140" customWidth="1"/>
    <col min="11017" max="11017" width="6.375" style="140" customWidth="1"/>
    <col min="11018" max="11264" width="9" style="140"/>
    <col min="11265" max="11265" width="7.5" style="140" customWidth="1"/>
    <col min="11266" max="11266" width="8.25" style="140" customWidth="1"/>
    <col min="11267" max="11267" width="4.875" style="140" customWidth="1"/>
    <col min="11268" max="11268" width="32.125" style="140" customWidth="1"/>
    <col min="11269" max="11272" width="17" style="140" customWidth="1"/>
    <col min="11273" max="11273" width="6.375" style="140" customWidth="1"/>
    <col min="11274" max="11520" width="9" style="140"/>
    <col min="11521" max="11521" width="7.5" style="140" customWidth="1"/>
    <col min="11522" max="11522" width="8.25" style="140" customWidth="1"/>
    <col min="11523" max="11523" width="4.875" style="140" customWidth="1"/>
    <col min="11524" max="11524" width="32.125" style="140" customWidth="1"/>
    <col min="11525" max="11528" width="17" style="140" customWidth="1"/>
    <col min="11529" max="11529" width="6.375" style="140" customWidth="1"/>
    <col min="11530" max="11776" width="9" style="140"/>
    <col min="11777" max="11777" width="7.5" style="140" customWidth="1"/>
    <col min="11778" max="11778" width="8.25" style="140" customWidth="1"/>
    <col min="11779" max="11779" width="4.875" style="140" customWidth="1"/>
    <col min="11780" max="11780" width="32.125" style="140" customWidth="1"/>
    <col min="11781" max="11784" width="17" style="140" customWidth="1"/>
    <col min="11785" max="11785" width="6.375" style="140" customWidth="1"/>
    <col min="11786" max="12032" width="9" style="140"/>
    <col min="12033" max="12033" width="7.5" style="140" customWidth="1"/>
    <col min="12034" max="12034" width="8.25" style="140" customWidth="1"/>
    <col min="12035" max="12035" width="4.875" style="140" customWidth="1"/>
    <col min="12036" max="12036" width="32.125" style="140" customWidth="1"/>
    <col min="12037" max="12040" width="17" style="140" customWidth="1"/>
    <col min="12041" max="12041" width="6.375" style="140" customWidth="1"/>
    <col min="12042" max="12288" width="9" style="140"/>
    <col min="12289" max="12289" width="7.5" style="140" customWidth="1"/>
    <col min="12290" max="12290" width="8.25" style="140" customWidth="1"/>
    <col min="12291" max="12291" width="4.875" style="140" customWidth="1"/>
    <col min="12292" max="12292" width="32.125" style="140" customWidth="1"/>
    <col min="12293" max="12296" width="17" style="140" customWidth="1"/>
    <col min="12297" max="12297" width="6.375" style="140" customWidth="1"/>
    <col min="12298" max="12544" width="9" style="140"/>
    <col min="12545" max="12545" width="7.5" style="140" customWidth="1"/>
    <col min="12546" max="12546" width="8.25" style="140" customWidth="1"/>
    <col min="12547" max="12547" width="4.875" style="140" customWidth="1"/>
    <col min="12548" max="12548" width="32.125" style="140" customWidth="1"/>
    <col min="12549" max="12552" width="17" style="140" customWidth="1"/>
    <col min="12553" max="12553" width="6.375" style="140" customWidth="1"/>
    <col min="12554" max="12800" width="9" style="140"/>
    <col min="12801" max="12801" width="7.5" style="140" customWidth="1"/>
    <col min="12802" max="12802" width="8.25" style="140" customWidth="1"/>
    <col min="12803" max="12803" width="4.875" style="140" customWidth="1"/>
    <col min="12804" max="12804" width="32.125" style="140" customWidth="1"/>
    <col min="12805" max="12808" width="17" style="140" customWidth="1"/>
    <col min="12809" max="12809" width="6.375" style="140" customWidth="1"/>
    <col min="12810" max="13056" width="9" style="140"/>
    <col min="13057" max="13057" width="7.5" style="140" customWidth="1"/>
    <col min="13058" max="13058" width="8.25" style="140" customWidth="1"/>
    <col min="13059" max="13059" width="4.875" style="140" customWidth="1"/>
    <col min="13060" max="13060" width="32.125" style="140" customWidth="1"/>
    <col min="13061" max="13064" width="17" style="140" customWidth="1"/>
    <col min="13065" max="13065" width="6.375" style="140" customWidth="1"/>
    <col min="13066" max="13312" width="9" style="140"/>
    <col min="13313" max="13313" width="7.5" style="140" customWidth="1"/>
    <col min="13314" max="13314" width="8.25" style="140" customWidth="1"/>
    <col min="13315" max="13315" width="4.875" style="140" customWidth="1"/>
    <col min="13316" max="13316" width="32.125" style="140" customWidth="1"/>
    <col min="13317" max="13320" width="17" style="140" customWidth="1"/>
    <col min="13321" max="13321" width="6.375" style="140" customWidth="1"/>
    <col min="13322" max="13568" width="9" style="140"/>
    <col min="13569" max="13569" width="7.5" style="140" customWidth="1"/>
    <col min="13570" max="13570" width="8.25" style="140" customWidth="1"/>
    <col min="13571" max="13571" width="4.875" style="140" customWidth="1"/>
    <col min="13572" max="13572" width="32.125" style="140" customWidth="1"/>
    <col min="13573" max="13576" width="17" style="140" customWidth="1"/>
    <col min="13577" max="13577" width="6.375" style="140" customWidth="1"/>
    <col min="13578" max="13824" width="9" style="140"/>
    <col min="13825" max="13825" width="7.5" style="140" customWidth="1"/>
    <col min="13826" max="13826" width="8.25" style="140" customWidth="1"/>
    <col min="13827" max="13827" width="4.875" style="140" customWidth="1"/>
    <col min="13828" max="13828" width="32.125" style="140" customWidth="1"/>
    <col min="13829" max="13832" width="17" style="140" customWidth="1"/>
    <col min="13833" max="13833" width="6.375" style="140" customWidth="1"/>
    <col min="13834" max="14080" width="9" style="140"/>
    <col min="14081" max="14081" width="7.5" style="140" customWidth="1"/>
    <col min="14082" max="14082" width="8.25" style="140" customWidth="1"/>
    <col min="14083" max="14083" width="4.875" style="140" customWidth="1"/>
    <col min="14084" max="14084" width="32.125" style="140" customWidth="1"/>
    <col min="14085" max="14088" width="17" style="140" customWidth="1"/>
    <col min="14089" max="14089" width="6.375" style="140" customWidth="1"/>
    <col min="14090" max="14336" width="9" style="140"/>
    <col min="14337" max="14337" width="7.5" style="140" customWidth="1"/>
    <col min="14338" max="14338" width="8.25" style="140" customWidth="1"/>
    <col min="14339" max="14339" width="4.875" style="140" customWidth="1"/>
    <col min="14340" max="14340" width="32.125" style="140" customWidth="1"/>
    <col min="14341" max="14344" width="17" style="140" customWidth="1"/>
    <col min="14345" max="14345" width="6.375" style="140" customWidth="1"/>
    <col min="14346" max="14592" width="9" style="140"/>
    <col min="14593" max="14593" width="7.5" style="140" customWidth="1"/>
    <col min="14594" max="14594" width="8.25" style="140" customWidth="1"/>
    <col min="14595" max="14595" width="4.875" style="140" customWidth="1"/>
    <col min="14596" max="14596" width="32.125" style="140" customWidth="1"/>
    <col min="14597" max="14600" width="17" style="140" customWidth="1"/>
    <col min="14601" max="14601" width="6.375" style="140" customWidth="1"/>
    <col min="14602" max="14848" width="9" style="140"/>
    <col min="14849" max="14849" width="7.5" style="140" customWidth="1"/>
    <col min="14850" max="14850" width="8.25" style="140" customWidth="1"/>
    <col min="14851" max="14851" width="4.875" style="140" customWidth="1"/>
    <col min="14852" max="14852" width="32.125" style="140" customWidth="1"/>
    <col min="14853" max="14856" width="17" style="140" customWidth="1"/>
    <col min="14857" max="14857" width="6.375" style="140" customWidth="1"/>
    <col min="14858" max="15104" width="9" style="140"/>
    <col min="15105" max="15105" width="7.5" style="140" customWidth="1"/>
    <col min="15106" max="15106" width="8.25" style="140" customWidth="1"/>
    <col min="15107" max="15107" width="4.875" style="140" customWidth="1"/>
    <col min="15108" max="15108" width="32.125" style="140" customWidth="1"/>
    <col min="15109" max="15112" width="17" style="140" customWidth="1"/>
    <col min="15113" max="15113" width="6.375" style="140" customWidth="1"/>
    <col min="15114" max="15360" width="9" style="140"/>
    <col min="15361" max="15361" width="7.5" style="140" customWidth="1"/>
    <col min="15362" max="15362" width="8.25" style="140" customWidth="1"/>
    <col min="15363" max="15363" width="4.875" style="140" customWidth="1"/>
    <col min="15364" max="15364" width="32.125" style="140" customWidth="1"/>
    <col min="15365" max="15368" width="17" style="140" customWidth="1"/>
    <col min="15369" max="15369" width="6.375" style="140" customWidth="1"/>
    <col min="15370" max="15616" width="9" style="140"/>
    <col min="15617" max="15617" width="7.5" style="140" customWidth="1"/>
    <col min="15618" max="15618" width="8.25" style="140" customWidth="1"/>
    <col min="15619" max="15619" width="4.875" style="140" customWidth="1"/>
    <col min="15620" max="15620" width="32.125" style="140" customWidth="1"/>
    <col min="15621" max="15624" width="17" style="140" customWidth="1"/>
    <col min="15625" max="15625" width="6.375" style="140" customWidth="1"/>
    <col min="15626" max="15872" width="9" style="140"/>
    <col min="15873" max="15873" width="7.5" style="140" customWidth="1"/>
    <col min="15874" max="15874" width="8.25" style="140" customWidth="1"/>
    <col min="15875" max="15875" width="4.875" style="140" customWidth="1"/>
    <col min="15876" max="15876" width="32.125" style="140" customWidth="1"/>
    <col min="15877" max="15880" width="17" style="140" customWidth="1"/>
    <col min="15881" max="15881" width="6.375" style="140" customWidth="1"/>
    <col min="15882" max="16128" width="9" style="140"/>
    <col min="16129" max="16129" width="7.5" style="140" customWidth="1"/>
    <col min="16130" max="16130" width="8.25" style="140" customWidth="1"/>
    <col min="16131" max="16131" width="4.875" style="140" customWidth="1"/>
    <col min="16132" max="16132" width="32.125" style="140" customWidth="1"/>
    <col min="16133" max="16136" width="17" style="140" customWidth="1"/>
    <col min="16137" max="16137" width="6.375" style="140" customWidth="1"/>
    <col min="16138" max="16384" width="9" style="140"/>
  </cols>
  <sheetData>
    <row r="1" spans="1:8" ht="13.5" customHeight="1">
      <c r="A1" s="339" t="s">
        <v>248</v>
      </c>
    </row>
    <row r="2" spans="1:8" ht="21.75" customHeight="1">
      <c r="A2" s="582" t="s">
        <v>141</v>
      </c>
      <c r="B2" s="582"/>
      <c r="C2" s="582"/>
      <c r="D2" s="582"/>
      <c r="E2" s="582"/>
      <c r="F2" s="582"/>
      <c r="G2" s="582"/>
      <c r="H2" s="582"/>
    </row>
    <row r="3" spans="1:8" ht="21.75" customHeight="1">
      <c r="A3" s="582"/>
      <c r="B3" s="582"/>
      <c r="C3" s="582"/>
      <c r="D3" s="582"/>
      <c r="E3" s="582"/>
      <c r="F3" s="582"/>
      <c r="G3" s="582"/>
      <c r="H3" s="582"/>
    </row>
    <row r="4" spans="1:8" ht="21.75" customHeight="1">
      <c r="B4" s="141"/>
      <c r="C4" s="141"/>
      <c r="D4" s="141"/>
      <c r="E4" s="141"/>
      <c r="F4" s="141"/>
      <c r="G4" s="141"/>
    </row>
    <row r="5" spans="1:8" ht="21.75" customHeight="1">
      <c r="A5" s="583" t="s">
        <v>94</v>
      </c>
      <c r="B5" s="583"/>
      <c r="C5" s="587" t="str">
        <f>様式1!E7</f>
        <v>○○○国○○○○○○○○○事業</v>
      </c>
      <c r="D5" s="587"/>
      <c r="E5" s="587"/>
      <c r="F5" s="587"/>
      <c r="G5" s="141"/>
    </row>
    <row r="6" spans="1:8" ht="21.75" customHeight="1">
      <c r="A6" s="583" t="s">
        <v>95</v>
      </c>
      <c r="B6" s="583"/>
      <c r="C6" s="588" t="str">
        <f>様式1!E8</f>
        <v>（提案法人名）</v>
      </c>
      <c r="D6" s="588"/>
      <c r="E6" s="588"/>
      <c r="F6" s="588"/>
      <c r="G6" s="141"/>
    </row>
    <row r="7" spans="1:8" ht="21.75" customHeight="1">
      <c r="A7" s="142"/>
      <c r="B7" s="141"/>
      <c r="C7" s="142"/>
      <c r="D7" s="143"/>
      <c r="E7" s="141"/>
      <c r="F7" s="141"/>
      <c r="G7" s="141"/>
      <c r="H7" s="144" t="s">
        <v>96</v>
      </c>
    </row>
    <row r="8" spans="1:8" ht="21.75" customHeight="1">
      <c r="A8" s="539"/>
      <c r="B8" s="584"/>
      <c r="C8" s="584"/>
      <c r="D8" s="584"/>
      <c r="E8" s="145" t="s">
        <v>142</v>
      </c>
      <c r="F8" s="145" t="s">
        <v>203</v>
      </c>
      <c r="G8" s="145" t="s">
        <v>350</v>
      </c>
      <c r="H8" s="146" t="s">
        <v>30</v>
      </c>
    </row>
    <row r="9" spans="1:8" ht="21.75" customHeight="1">
      <c r="A9" s="340" t="s">
        <v>97</v>
      </c>
      <c r="B9" s="585" t="s">
        <v>68</v>
      </c>
      <c r="C9" s="585"/>
      <c r="D9" s="585"/>
      <c r="E9" s="147">
        <f>E10+E11+E12</f>
        <v>0</v>
      </c>
      <c r="F9" s="147">
        <f t="shared" ref="F9:G9" si="0">F10+F11+F12</f>
        <v>0</v>
      </c>
      <c r="G9" s="147">
        <f t="shared" si="0"/>
        <v>0</v>
      </c>
      <c r="H9" s="147">
        <f>E9+F9+G9</f>
        <v>0</v>
      </c>
    </row>
    <row r="10" spans="1:8" ht="21.75" customHeight="1">
      <c r="A10" s="157"/>
      <c r="B10" s="149" t="s">
        <v>104</v>
      </c>
      <c r="C10" s="593" t="s">
        <v>7</v>
      </c>
      <c r="D10" s="593"/>
      <c r="E10" s="152"/>
      <c r="F10" s="152"/>
      <c r="G10" s="152"/>
      <c r="H10" s="147">
        <f t="shared" ref="H10:H22" si="1">E10+F10+G10</f>
        <v>0</v>
      </c>
    </row>
    <row r="11" spans="1:8" ht="21.75" customHeight="1">
      <c r="A11" s="157"/>
      <c r="B11" s="149" t="s">
        <v>4</v>
      </c>
      <c r="C11" s="593" t="s">
        <v>64</v>
      </c>
      <c r="D11" s="593"/>
      <c r="E11" s="152"/>
      <c r="F11" s="152"/>
      <c r="G11" s="152"/>
      <c r="H11" s="147">
        <f t="shared" si="1"/>
        <v>0</v>
      </c>
    </row>
    <row r="12" spans="1:8" ht="21.75" customHeight="1">
      <c r="A12" s="154"/>
      <c r="B12" s="149" t="s">
        <v>8</v>
      </c>
      <c r="C12" s="594" t="s">
        <v>9</v>
      </c>
      <c r="D12" s="594"/>
      <c r="E12" s="152"/>
      <c r="F12" s="152"/>
      <c r="G12" s="152"/>
      <c r="H12" s="147">
        <f t="shared" si="1"/>
        <v>0</v>
      </c>
    </row>
    <row r="13" spans="1:8" ht="21.75" customHeight="1">
      <c r="A13" s="342" t="s">
        <v>101</v>
      </c>
      <c r="B13" s="585" t="s">
        <v>3</v>
      </c>
      <c r="C13" s="585"/>
      <c r="D13" s="586"/>
      <c r="E13" s="147">
        <f>E14+E15+E16+E17+E18</f>
        <v>0</v>
      </c>
      <c r="F13" s="147">
        <f t="shared" ref="F13:G13" si="2">F14+F15+F16+F17+F18</f>
        <v>0</v>
      </c>
      <c r="G13" s="147">
        <f t="shared" si="2"/>
        <v>0</v>
      </c>
      <c r="H13" s="147">
        <f t="shared" si="1"/>
        <v>0</v>
      </c>
    </row>
    <row r="14" spans="1:8" ht="21.75" customHeight="1">
      <c r="A14" s="148"/>
      <c r="B14" s="149" t="s">
        <v>98</v>
      </c>
      <c r="C14" s="595" t="s">
        <v>99</v>
      </c>
      <c r="D14" s="595"/>
      <c r="E14" s="150"/>
      <c r="F14" s="150"/>
      <c r="G14" s="150"/>
      <c r="H14" s="147">
        <f t="shared" si="1"/>
        <v>0</v>
      </c>
    </row>
    <row r="15" spans="1:8" ht="21.75" hidden="1" customHeight="1">
      <c r="A15" s="148"/>
      <c r="B15" s="149" t="s">
        <v>4</v>
      </c>
      <c r="C15" s="338" t="s">
        <v>110</v>
      </c>
      <c r="D15" s="151"/>
      <c r="E15" s="346"/>
      <c r="F15" s="347"/>
      <c r="G15" s="347"/>
      <c r="H15" s="348"/>
    </row>
    <row r="16" spans="1:8" ht="21.75" customHeight="1">
      <c r="A16" s="148"/>
      <c r="B16" s="149" t="s">
        <v>4</v>
      </c>
      <c r="C16" s="459" t="s">
        <v>110</v>
      </c>
      <c r="D16" s="151"/>
      <c r="E16" s="152"/>
      <c r="F16" s="152"/>
      <c r="G16" s="152"/>
      <c r="H16" s="147">
        <f t="shared" si="1"/>
        <v>0</v>
      </c>
    </row>
    <row r="17" spans="1:8" ht="21.75" customHeight="1">
      <c r="A17" s="154"/>
      <c r="B17" s="155" t="s">
        <v>100</v>
      </c>
      <c r="C17" s="338" t="s">
        <v>111</v>
      </c>
      <c r="D17" s="156"/>
      <c r="E17" s="152"/>
      <c r="F17" s="152"/>
      <c r="G17" s="152"/>
      <c r="H17" s="147">
        <f t="shared" si="1"/>
        <v>0</v>
      </c>
    </row>
    <row r="18" spans="1:8" ht="21.75" customHeight="1">
      <c r="A18" s="153"/>
      <c r="B18" s="155" t="s">
        <v>363</v>
      </c>
      <c r="C18" s="594" t="s">
        <v>159</v>
      </c>
      <c r="D18" s="594"/>
      <c r="E18" s="150"/>
      <c r="F18" s="150"/>
      <c r="G18" s="150"/>
      <c r="H18" s="147">
        <f t="shared" si="1"/>
        <v>0</v>
      </c>
    </row>
    <row r="19" spans="1:8" ht="21.75" customHeight="1">
      <c r="A19" s="340" t="s">
        <v>103</v>
      </c>
      <c r="B19" s="341" t="s">
        <v>102</v>
      </c>
      <c r="C19" s="338"/>
      <c r="D19" s="338"/>
      <c r="E19" s="225"/>
      <c r="F19" s="225"/>
      <c r="G19" s="225"/>
      <c r="H19" s="147">
        <f t="shared" si="1"/>
        <v>0</v>
      </c>
    </row>
    <row r="20" spans="1:8" ht="21.75" customHeight="1">
      <c r="A20" s="342" t="s">
        <v>105</v>
      </c>
      <c r="B20" s="589" t="s">
        <v>27</v>
      </c>
      <c r="C20" s="589"/>
      <c r="D20" s="589"/>
      <c r="E20" s="147">
        <f>E9+E13+E19</f>
        <v>0</v>
      </c>
      <c r="F20" s="147">
        <f>F9+F13+F19</f>
        <v>0</v>
      </c>
      <c r="G20" s="147">
        <f>G9+G13+G19</f>
        <v>0</v>
      </c>
      <c r="H20" s="147">
        <f t="shared" si="1"/>
        <v>0</v>
      </c>
    </row>
    <row r="21" spans="1:8" ht="21.75" customHeight="1">
      <c r="A21" s="342" t="s">
        <v>106</v>
      </c>
      <c r="B21" s="343" t="s">
        <v>107</v>
      </c>
      <c r="C21" s="344"/>
      <c r="D21" s="344"/>
      <c r="E21" s="158">
        <f>E20*0.08</f>
        <v>0</v>
      </c>
      <c r="F21" s="158">
        <f t="shared" ref="F21:G21" si="3">F20*0.08</f>
        <v>0</v>
      </c>
      <c r="G21" s="158">
        <f t="shared" si="3"/>
        <v>0</v>
      </c>
      <c r="H21" s="147">
        <f t="shared" si="1"/>
        <v>0</v>
      </c>
    </row>
    <row r="22" spans="1:8" ht="21.75" customHeight="1">
      <c r="A22" s="345" t="s">
        <v>108</v>
      </c>
      <c r="B22" s="589" t="s">
        <v>109</v>
      </c>
      <c r="C22" s="589"/>
      <c r="D22" s="589"/>
      <c r="E22" s="147">
        <f>SUM(E20:E21)</f>
        <v>0</v>
      </c>
      <c r="F22" s="147">
        <f t="shared" ref="F22:G22" si="4">SUM(F20:F21)</f>
        <v>0</v>
      </c>
      <c r="G22" s="147">
        <f t="shared" si="4"/>
        <v>0</v>
      </c>
      <c r="H22" s="147">
        <f t="shared" si="1"/>
        <v>0</v>
      </c>
    </row>
    <row r="23" spans="1:8">
      <c r="A23" s="590"/>
      <c r="B23" s="590"/>
      <c r="C23" s="590"/>
      <c r="D23" s="591"/>
    </row>
    <row r="24" spans="1:8" ht="14.25" customHeight="1">
      <c r="A24" s="592"/>
      <c r="B24" s="592"/>
      <c r="C24" s="592"/>
      <c r="D24" s="592"/>
      <c r="E24" s="592"/>
    </row>
    <row r="25" spans="1:8">
      <c r="A25" s="159"/>
      <c r="B25" s="159"/>
      <c r="C25" s="159"/>
      <c r="D25" s="159"/>
      <c r="E25" s="159"/>
      <c r="F25" s="159"/>
      <c r="G25" s="159"/>
    </row>
    <row r="26" spans="1:8">
      <c r="A26" s="159"/>
      <c r="B26" s="159"/>
      <c r="C26" s="159"/>
      <c r="D26" s="159"/>
      <c r="E26" s="159"/>
      <c r="F26" s="159"/>
      <c r="G26" s="159"/>
    </row>
  </sheetData>
  <sheetProtection formatRows="0"/>
  <mergeCells count="17"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  <mergeCell ref="A2:H3"/>
    <mergeCell ref="A5:B5"/>
    <mergeCell ref="A6:B6"/>
    <mergeCell ref="A8:D8"/>
    <mergeCell ref="B13:D13"/>
    <mergeCell ref="C5:F5"/>
    <mergeCell ref="C6:F6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E12" sqref="E12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398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3" bestFit="1" customWidth="1"/>
    <col min="16" max="16" width="6.625" bestFit="1" customWidth="1"/>
    <col min="17" max="17" width="9.125" bestFit="1" customWidth="1"/>
  </cols>
  <sheetData>
    <row r="1" spans="1:22">
      <c r="A1" s="275" t="s">
        <v>76</v>
      </c>
      <c r="B1" s="240"/>
      <c r="C1" s="240"/>
      <c r="D1" s="387"/>
      <c r="E1" s="240"/>
      <c r="F1" s="276"/>
      <c r="G1" s="276"/>
      <c r="H1" s="276"/>
      <c r="I1" s="393"/>
      <c r="J1" s="276"/>
      <c r="K1" s="276"/>
      <c r="L1" s="276"/>
      <c r="M1" s="276"/>
      <c r="N1" s="276"/>
      <c r="O1" s="277"/>
      <c r="P1" s="276"/>
      <c r="Q1" s="168"/>
      <c r="R1" s="168"/>
      <c r="S1" s="168"/>
      <c r="T1" s="168"/>
      <c r="U1" s="168"/>
    </row>
    <row r="2" spans="1:22" ht="16.5">
      <c r="A2" s="240" t="s">
        <v>77</v>
      </c>
      <c r="B2" s="240" t="s">
        <v>227</v>
      </c>
      <c r="C2" s="240" t="s">
        <v>78</v>
      </c>
      <c r="D2" s="240" t="s">
        <v>228</v>
      </c>
      <c r="E2" s="240" t="s">
        <v>154</v>
      </c>
      <c r="F2" s="240" t="s">
        <v>80</v>
      </c>
      <c r="G2" s="240" t="s">
        <v>173</v>
      </c>
      <c r="H2" s="240" t="s">
        <v>229</v>
      </c>
      <c r="I2" s="394" t="s">
        <v>251</v>
      </c>
      <c r="J2" s="240" t="s">
        <v>144</v>
      </c>
      <c r="K2" s="240" t="s">
        <v>145</v>
      </c>
      <c r="L2" s="240" t="s">
        <v>146</v>
      </c>
      <c r="M2" s="166"/>
      <c r="N2" s="278" t="s">
        <v>147</v>
      </c>
      <c r="O2" s="279" t="s">
        <v>148</v>
      </c>
      <c r="P2" s="171" t="s">
        <v>145</v>
      </c>
      <c r="Q2" s="171" t="s">
        <v>146</v>
      </c>
      <c r="R2" s="168"/>
      <c r="S2" s="168"/>
      <c r="T2" s="168"/>
      <c r="U2" s="363" t="s">
        <v>79</v>
      </c>
      <c r="V2" s="117" t="s">
        <v>85</v>
      </c>
    </row>
    <row r="3" spans="1:22" ht="28.5">
      <c r="A3" s="168">
        <v>1</v>
      </c>
      <c r="B3" s="416" t="s">
        <v>366</v>
      </c>
      <c r="C3" s="250" t="s">
        <v>299</v>
      </c>
      <c r="D3" s="322" t="s">
        <v>264</v>
      </c>
      <c r="E3" s="250" t="s">
        <v>373</v>
      </c>
      <c r="F3" s="322">
        <v>2</v>
      </c>
      <c r="G3" s="251">
        <v>20372</v>
      </c>
      <c r="H3" s="252" t="s">
        <v>305</v>
      </c>
      <c r="I3" s="395" t="s">
        <v>306</v>
      </c>
      <c r="J3" s="175" t="str">
        <f>IF($F3="","",IF(D3="Z","",VLOOKUP($F3,$N$3:$Q$12,2)))</f>
        <v/>
      </c>
      <c r="K3" s="175">
        <f>IF($F3="","",VLOOKUP($F3,$N$3:$Q$12,3))</f>
        <v>3800</v>
      </c>
      <c r="L3" s="175">
        <f>IF($F3="","",VLOOKUP($F3,$N$3:$Q$12,4))</f>
        <v>11600</v>
      </c>
      <c r="M3" s="168"/>
      <c r="N3" s="278"/>
      <c r="O3" s="279"/>
      <c r="P3" s="171"/>
      <c r="Q3" s="171"/>
      <c r="R3" s="168"/>
      <c r="S3" s="168"/>
      <c r="T3" s="168"/>
      <c r="U3" s="392" t="s">
        <v>283</v>
      </c>
      <c r="V3" s="117" t="s">
        <v>86</v>
      </c>
    </row>
    <row r="4" spans="1:22" ht="28.5">
      <c r="A4" s="168">
        <v>2</v>
      </c>
      <c r="B4" s="416" t="s">
        <v>367</v>
      </c>
      <c r="C4" s="250" t="s">
        <v>372</v>
      </c>
      <c r="D4" s="322" t="s">
        <v>264</v>
      </c>
      <c r="E4" s="250" t="s">
        <v>373</v>
      </c>
      <c r="F4" s="322">
        <v>3</v>
      </c>
      <c r="G4" s="251">
        <v>26155</v>
      </c>
      <c r="H4" s="252" t="s">
        <v>307</v>
      </c>
      <c r="I4" s="396" t="s">
        <v>308</v>
      </c>
      <c r="J4" s="175" t="str">
        <f t="shared" ref="J4:J33" si="0">IF($F4="","",IF(D4="Z","",VLOOKUP($F4,$N$3:$Q$12,2)))</f>
        <v/>
      </c>
      <c r="K4" s="175">
        <f t="shared" ref="K4:K33" si="1">IF($F4="","",VLOOKUP($F4,$N$3:$Q$12,3))</f>
        <v>3800</v>
      </c>
      <c r="L4" s="175">
        <f t="shared" ref="L4:L33" si="2">IF($F4="","",VLOOKUP($F4,$N$3:$Q$12,4))</f>
        <v>11600</v>
      </c>
      <c r="M4" s="168"/>
      <c r="N4" s="278"/>
      <c r="O4" s="279"/>
      <c r="P4" s="171"/>
      <c r="Q4" s="171"/>
      <c r="R4" s="168"/>
      <c r="S4" s="168"/>
      <c r="T4" s="168"/>
      <c r="U4" s="392" t="s">
        <v>267</v>
      </c>
      <c r="V4" s="117" t="s">
        <v>84</v>
      </c>
    </row>
    <row r="5" spans="1:22" ht="28.5">
      <c r="A5" s="168">
        <v>3</v>
      </c>
      <c r="B5" s="416" t="s">
        <v>369</v>
      </c>
      <c r="C5" s="272" t="s">
        <v>304</v>
      </c>
      <c r="D5" s="322" t="s">
        <v>264</v>
      </c>
      <c r="E5" s="272" t="s">
        <v>375</v>
      </c>
      <c r="F5" s="322">
        <v>4</v>
      </c>
      <c r="G5" s="251">
        <v>33209</v>
      </c>
      <c r="H5" s="252" t="s">
        <v>309</v>
      </c>
      <c r="I5" s="395" t="s">
        <v>312</v>
      </c>
      <c r="J5" s="175" t="str">
        <f t="shared" si="0"/>
        <v/>
      </c>
      <c r="K5" s="175">
        <f t="shared" si="1"/>
        <v>3800</v>
      </c>
      <c r="L5" s="175">
        <f t="shared" si="2"/>
        <v>11600</v>
      </c>
      <c r="M5" s="168"/>
      <c r="N5" s="278"/>
      <c r="O5" s="279"/>
      <c r="P5" s="171"/>
      <c r="Q5" s="171"/>
      <c r="R5" s="168"/>
      <c r="S5" s="168"/>
      <c r="T5" s="168"/>
      <c r="U5" s="392" t="s">
        <v>268</v>
      </c>
    </row>
    <row r="6" spans="1:22" ht="28.5">
      <c r="A6" s="168">
        <v>4</v>
      </c>
      <c r="B6" s="416" t="s">
        <v>381</v>
      </c>
      <c r="C6" s="272" t="s">
        <v>300</v>
      </c>
      <c r="D6" s="322" t="s">
        <v>284</v>
      </c>
      <c r="E6" s="250" t="s">
        <v>376</v>
      </c>
      <c r="F6" s="322">
        <v>2</v>
      </c>
      <c r="G6" s="251">
        <v>24422</v>
      </c>
      <c r="H6" s="252" t="s">
        <v>309</v>
      </c>
      <c r="I6" s="395" t="s">
        <v>310</v>
      </c>
      <c r="J6" s="175">
        <f t="shared" si="0"/>
        <v>1024000</v>
      </c>
      <c r="K6" s="175">
        <f t="shared" si="1"/>
        <v>3800</v>
      </c>
      <c r="L6" s="175">
        <f t="shared" si="2"/>
        <v>11600</v>
      </c>
      <c r="M6" s="168"/>
      <c r="N6" s="281"/>
      <c r="O6" s="279"/>
      <c r="P6" s="171"/>
      <c r="Q6" s="171"/>
      <c r="R6" s="168"/>
      <c r="S6" s="168"/>
      <c r="T6" s="168"/>
      <c r="U6" s="392" t="s">
        <v>269</v>
      </c>
    </row>
    <row r="7" spans="1:22" ht="28.5">
      <c r="A7" s="168">
        <v>5</v>
      </c>
      <c r="B7" s="416" t="s">
        <v>368</v>
      </c>
      <c r="C7" s="250" t="s">
        <v>301</v>
      </c>
      <c r="D7" s="322" t="s">
        <v>284</v>
      </c>
      <c r="E7" s="250" t="s">
        <v>376</v>
      </c>
      <c r="F7" s="322">
        <v>4</v>
      </c>
      <c r="G7" s="251">
        <v>24100</v>
      </c>
      <c r="H7" s="252" t="s">
        <v>309</v>
      </c>
      <c r="I7" s="396" t="s">
        <v>310</v>
      </c>
      <c r="J7" s="175">
        <f t="shared" si="0"/>
        <v>744000</v>
      </c>
      <c r="K7" s="175">
        <f t="shared" si="1"/>
        <v>3800</v>
      </c>
      <c r="L7" s="175">
        <f t="shared" si="2"/>
        <v>11600</v>
      </c>
      <c r="M7" s="168"/>
      <c r="N7" s="281">
        <v>2</v>
      </c>
      <c r="O7" s="279">
        <v>1024000</v>
      </c>
      <c r="P7" s="171">
        <v>3800</v>
      </c>
      <c r="Q7" s="171">
        <v>11600</v>
      </c>
      <c r="R7" s="168"/>
      <c r="S7" s="168"/>
      <c r="T7" s="168"/>
      <c r="U7" s="392" t="s">
        <v>270</v>
      </c>
    </row>
    <row r="8" spans="1:22" ht="28.5">
      <c r="A8" s="168">
        <v>6</v>
      </c>
      <c r="B8" s="416" t="s">
        <v>380</v>
      </c>
      <c r="C8" s="250" t="s">
        <v>349</v>
      </c>
      <c r="D8" s="322" t="s">
        <v>284</v>
      </c>
      <c r="E8" s="250" t="s">
        <v>376</v>
      </c>
      <c r="F8" s="322">
        <v>6</v>
      </c>
      <c r="G8" s="251">
        <v>33200</v>
      </c>
      <c r="H8" s="252" t="s">
        <v>309</v>
      </c>
      <c r="I8" s="396" t="s">
        <v>312</v>
      </c>
      <c r="J8" s="175">
        <f t="shared" si="0"/>
        <v>508000</v>
      </c>
      <c r="K8" s="175">
        <f t="shared" si="1"/>
        <v>3800</v>
      </c>
      <c r="L8" s="175">
        <f t="shared" si="2"/>
        <v>11600</v>
      </c>
      <c r="M8" s="168"/>
      <c r="N8" s="281">
        <v>3</v>
      </c>
      <c r="O8" s="279">
        <v>910000</v>
      </c>
      <c r="P8" s="171">
        <v>3800</v>
      </c>
      <c r="Q8" s="171">
        <v>11600</v>
      </c>
      <c r="R8" s="168"/>
      <c r="S8" s="168"/>
      <c r="T8" s="168"/>
      <c r="U8" s="392" t="s">
        <v>271</v>
      </c>
    </row>
    <row r="9" spans="1:22" ht="26.25" customHeight="1">
      <c r="A9" s="168">
        <v>7</v>
      </c>
      <c r="B9" s="416" t="s">
        <v>377</v>
      </c>
      <c r="C9" s="250" t="s">
        <v>302</v>
      </c>
      <c r="D9" s="322" t="s">
        <v>285</v>
      </c>
      <c r="E9" s="272" t="s">
        <v>374</v>
      </c>
      <c r="F9" s="322">
        <v>5</v>
      </c>
      <c r="G9" s="251">
        <v>29423</v>
      </c>
      <c r="H9" s="252" t="s">
        <v>309</v>
      </c>
      <c r="I9" s="395" t="s">
        <v>311</v>
      </c>
      <c r="J9" s="175">
        <f t="shared" si="0"/>
        <v>600000</v>
      </c>
      <c r="K9" s="175">
        <f t="shared" si="1"/>
        <v>3800</v>
      </c>
      <c r="L9" s="175">
        <f t="shared" si="2"/>
        <v>11600</v>
      </c>
      <c r="M9" s="168"/>
      <c r="N9" s="281">
        <v>4</v>
      </c>
      <c r="O9" s="279">
        <v>744000</v>
      </c>
      <c r="P9" s="171">
        <v>3800</v>
      </c>
      <c r="Q9" s="171">
        <v>11600</v>
      </c>
      <c r="R9" s="168"/>
      <c r="S9" s="168"/>
      <c r="T9" s="168"/>
      <c r="U9" s="392" t="s">
        <v>272</v>
      </c>
    </row>
    <row r="10" spans="1:22" ht="28.5">
      <c r="A10" s="168">
        <v>8</v>
      </c>
      <c r="B10" s="416" t="s">
        <v>370</v>
      </c>
      <c r="C10" s="250" t="s">
        <v>379</v>
      </c>
      <c r="D10" s="322" t="s">
        <v>286</v>
      </c>
      <c r="E10" s="272" t="s">
        <v>387</v>
      </c>
      <c r="F10" s="322">
        <v>5</v>
      </c>
      <c r="G10" s="251">
        <v>36285</v>
      </c>
      <c r="H10" s="252" t="s">
        <v>309</v>
      </c>
      <c r="I10" s="396" t="s">
        <v>312</v>
      </c>
      <c r="J10" s="175">
        <f t="shared" si="0"/>
        <v>600000</v>
      </c>
      <c r="K10" s="175">
        <f t="shared" si="1"/>
        <v>3800</v>
      </c>
      <c r="L10" s="175">
        <f t="shared" si="2"/>
        <v>11600</v>
      </c>
      <c r="M10" s="168"/>
      <c r="N10" s="281">
        <v>5</v>
      </c>
      <c r="O10" s="279">
        <v>600000</v>
      </c>
      <c r="P10" s="171">
        <v>3800</v>
      </c>
      <c r="Q10" s="171">
        <v>11600</v>
      </c>
      <c r="R10" s="168"/>
      <c r="S10" s="168"/>
      <c r="T10" s="168"/>
      <c r="U10" s="392" t="s">
        <v>273</v>
      </c>
    </row>
    <row r="11" spans="1:22" ht="28.5">
      <c r="A11" s="168">
        <v>9</v>
      </c>
      <c r="B11" s="416" t="s">
        <v>378</v>
      </c>
      <c r="C11" s="250" t="s">
        <v>303</v>
      </c>
      <c r="D11" s="322" t="s">
        <v>288</v>
      </c>
      <c r="E11" s="272" t="s">
        <v>388</v>
      </c>
      <c r="F11" s="322">
        <v>3</v>
      </c>
      <c r="G11" s="251">
        <v>25729</v>
      </c>
      <c r="H11" s="252" t="s">
        <v>309</v>
      </c>
      <c r="I11" s="395" t="s">
        <v>310</v>
      </c>
      <c r="J11" s="175">
        <f t="shared" si="0"/>
        <v>910000</v>
      </c>
      <c r="K11" s="175">
        <f t="shared" si="1"/>
        <v>3800</v>
      </c>
      <c r="L11" s="175">
        <f t="shared" si="2"/>
        <v>11600</v>
      </c>
      <c r="M11" s="168"/>
      <c r="N11" s="281">
        <v>6</v>
      </c>
      <c r="O11" s="279">
        <v>508000</v>
      </c>
      <c r="P11" s="171">
        <v>3800</v>
      </c>
      <c r="Q11" s="171">
        <v>11600</v>
      </c>
      <c r="R11" s="168"/>
      <c r="S11" s="168"/>
      <c r="T11" s="168"/>
      <c r="U11" s="392" t="s">
        <v>274</v>
      </c>
    </row>
    <row r="12" spans="1:22" ht="28.5">
      <c r="A12" s="168">
        <v>10</v>
      </c>
      <c r="B12" s="416" t="s">
        <v>371</v>
      </c>
      <c r="C12" s="250" t="s">
        <v>347</v>
      </c>
      <c r="D12" s="322" t="s">
        <v>348</v>
      </c>
      <c r="E12" s="272" t="s">
        <v>388</v>
      </c>
      <c r="F12" s="322">
        <v>4</v>
      </c>
      <c r="G12" s="251">
        <v>24149</v>
      </c>
      <c r="H12" s="252" t="s">
        <v>309</v>
      </c>
      <c r="I12" s="395" t="s">
        <v>310</v>
      </c>
      <c r="J12" s="175">
        <f t="shared" si="0"/>
        <v>744000</v>
      </c>
      <c r="K12" s="175">
        <f t="shared" si="1"/>
        <v>3800</v>
      </c>
      <c r="L12" s="175">
        <f t="shared" si="2"/>
        <v>11600</v>
      </c>
      <c r="M12" s="168"/>
      <c r="N12" s="168"/>
      <c r="O12" s="172"/>
      <c r="P12" s="168"/>
      <c r="Q12" s="168"/>
      <c r="R12" s="168"/>
      <c r="S12" s="168"/>
      <c r="T12" s="168"/>
      <c r="U12" s="392" t="s">
        <v>275</v>
      </c>
    </row>
    <row r="13" spans="1:22">
      <c r="A13" s="137">
        <v>11</v>
      </c>
      <c r="B13" s="416"/>
      <c r="C13" s="272"/>
      <c r="D13" s="322"/>
      <c r="E13" s="250"/>
      <c r="F13" s="322"/>
      <c r="G13" s="251"/>
      <c r="H13" s="252"/>
      <c r="I13" s="395"/>
      <c r="J13" s="175" t="str">
        <f t="shared" si="0"/>
        <v/>
      </c>
      <c r="K13" s="175" t="str">
        <f t="shared" si="1"/>
        <v/>
      </c>
      <c r="L13" s="175" t="str">
        <f t="shared" si="2"/>
        <v/>
      </c>
      <c r="M13" s="168"/>
      <c r="N13" s="168"/>
      <c r="O13" s="172"/>
      <c r="P13" s="168"/>
      <c r="Q13" s="168"/>
      <c r="R13" s="168"/>
      <c r="S13" s="168"/>
      <c r="T13" s="168"/>
      <c r="U13" s="392" t="s">
        <v>276</v>
      </c>
    </row>
    <row r="14" spans="1:22">
      <c r="A14" s="137">
        <v>12</v>
      </c>
      <c r="B14" s="416"/>
      <c r="C14" s="250"/>
      <c r="D14" s="322"/>
      <c r="E14" s="272"/>
      <c r="F14" s="322"/>
      <c r="G14" s="251"/>
      <c r="H14" s="252"/>
      <c r="I14" s="395"/>
      <c r="J14" s="175" t="str">
        <f t="shared" si="0"/>
        <v/>
      </c>
      <c r="K14" s="175" t="str">
        <f t="shared" si="1"/>
        <v/>
      </c>
      <c r="L14" s="175" t="str">
        <f t="shared" si="2"/>
        <v/>
      </c>
      <c r="M14" s="168"/>
      <c r="N14" s="168"/>
      <c r="O14" s="172"/>
      <c r="P14" s="168"/>
      <c r="Q14" s="168"/>
      <c r="R14" s="168"/>
      <c r="S14" s="168"/>
      <c r="T14" s="168"/>
      <c r="U14" s="392" t="s">
        <v>277</v>
      </c>
    </row>
    <row r="15" spans="1:22">
      <c r="A15" s="137">
        <v>13</v>
      </c>
      <c r="B15" s="416"/>
      <c r="C15" s="250"/>
      <c r="D15" s="322"/>
      <c r="E15" s="272"/>
      <c r="F15" s="322"/>
      <c r="G15" s="251"/>
      <c r="H15" s="252"/>
      <c r="I15" s="395"/>
      <c r="J15" s="175" t="str">
        <f t="shared" si="0"/>
        <v/>
      </c>
      <c r="K15" s="175" t="str">
        <f t="shared" si="1"/>
        <v/>
      </c>
      <c r="L15" s="175" t="str">
        <f t="shared" si="2"/>
        <v/>
      </c>
      <c r="M15" s="168"/>
      <c r="N15" s="168"/>
      <c r="O15" s="172"/>
      <c r="P15" s="168"/>
      <c r="Q15" s="168"/>
      <c r="R15" s="168"/>
      <c r="S15" s="168"/>
      <c r="T15" s="168"/>
      <c r="U15" s="392" t="s">
        <v>278</v>
      </c>
    </row>
    <row r="16" spans="1:22">
      <c r="A16" s="137">
        <v>14</v>
      </c>
      <c r="B16" s="416"/>
      <c r="C16" s="250"/>
      <c r="D16" s="322"/>
      <c r="E16" s="272"/>
      <c r="F16" s="322"/>
      <c r="G16" s="251"/>
      <c r="H16" s="252"/>
      <c r="I16" s="395"/>
      <c r="J16" s="175" t="str">
        <f t="shared" si="0"/>
        <v/>
      </c>
      <c r="K16" s="175" t="str">
        <f t="shared" si="1"/>
        <v/>
      </c>
      <c r="L16" s="175" t="str">
        <f t="shared" si="2"/>
        <v/>
      </c>
      <c r="M16" s="168"/>
      <c r="N16" s="168"/>
      <c r="O16" s="172"/>
      <c r="P16" s="168"/>
      <c r="Q16" s="168"/>
      <c r="R16" s="168"/>
      <c r="S16" s="168"/>
      <c r="T16" s="168"/>
      <c r="U16" s="392" t="s">
        <v>279</v>
      </c>
    </row>
    <row r="17" spans="1:21">
      <c r="A17" s="168">
        <v>15</v>
      </c>
      <c r="B17" s="280"/>
      <c r="C17" s="250"/>
      <c r="D17" s="322"/>
      <c r="E17" s="250"/>
      <c r="F17" s="322"/>
      <c r="G17" s="251"/>
      <c r="H17" s="252"/>
      <c r="I17" s="396"/>
      <c r="J17" s="175" t="str">
        <f t="shared" si="0"/>
        <v/>
      </c>
      <c r="K17" s="175" t="str">
        <f t="shared" si="1"/>
        <v/>
      </c>
      <c r="L17" s="175" t="str">
        <f t="shared" si="2"/>
        <v/>
      </c>
      <c r="M17" s="168"/>
      <c r="N17" s="168"/>
      <c r="O17" s="172"/>
      <c r="P17" s="168"/>
      <c r="Q17" s="168"/>
      <c r="R17" s="168"/>
      <c r="S17" s="168"/>
      <c r="T17" s="168"/>
      <c r="U17" s="392" t="s">
        <v>280</v>
      </c>
    </row>
    <row r="18" spans="1:21">
      <c r="A18" s="168">
        <v>16</v>
      </c>
      <c r="B18" s="280"/>
      <c r="C18" s="250"/>
      <c r="D18" s="322"/>
      <c r="E18" s="250"/>
      <c r="F18" s="322"/>
      <c r="G18" s="251"/>
      <c r="H18" s="252"/>
      <c r="I18" s="396"/>
      <c r="J18" s="175" t="str">
        <f t="shared" si="0"/>
        <v/>
      </c>
      <c r="K18" s="175" t="str">
        <f t="shared" si="1"/>
        <v/>
      </c>
      <c r="L18" s="175" t="str">
        <f t="shared" si="2"/>
        <v/>
      </c>
      <c r="M18" s="168"/>
      <c r="N18" s="168"/>
      <c r="O18" s="172"/>
      <c r="P18" s="168"/>
      <c r="Q18" s="168"/>
      <c r="R18" s="168"/>
      <c r="S18" s="168"/>
      <c r="T18" s="168"/>
      <c r="U18" s="392" t="s">
        <v>281</v>
      </c>
    </row>
    <row r="19" spans="1:21">
      <c r="A19" s="168">
        <v>17</v>
      </c>
      <c r="B19" s="280"/>
      <c r="C19" s="250"/>
      <c r="D19" s="322"/>
      <c r="E19" s="250"/>
      <c r="F19" s="322"/>
      <c r="G19" s="251"/>
      <c r="H19" s="252"/>
      <c r="I19" s="396"/>
      <c r="J19" s="175" t="str">
        <f t="shared" si="0"/>
        <v/>
      </c>
      <c r="K19" s="175" t="str">
        <f t="shared" si="1"/>
        <v/>
      </c>
      <c r="L19" s="175" t="str">
        <f t="shared" si="2"/>
        <v/>
      </c>
      <c r="M19" s="168"/>
      <c r="N19" s="168"/>
      <c r="O19" s="172"/>
      <c r="P19" s="168"/>
      <c r="Q19" s="168"/>
      <c r="R19" s="168"/>
      <c r="S19" s="168"/>
      <c r="T19" s="168"/>
      <c r="U19" s="392" t="s">
        <v>282</v>
      </c>
    </row>
    <row r="20" spans="1:21">
      <c r="A20" s="168">
        <v>18</v>
      </c>
      <c r="B20" s="280"/>
      <c r="C20" s="250"/>
      <c r="D20" s="322"/>
      <c r="E20" s="250"/>
      <c r="F20" s="322"/>
      <c r="G20" s="251"/>
      <c r="H20" s="252"/>
      <c r="I20" s="396"/>
      <c r="J20" s="175" t="str">
        <f t="shared" si="0"/>
        <v/>
      </c>
      <c r="K20" s="175" t="str">
        <f t="shared" si="1"/>
        <v/>
      </c>
      <c r="L20" s="175" t="str">
        <f t="shared" si="2"/>
        <v/>
      </c>
      <c r="M20" s="168"/>
      <c r="N20" s="168"/>
      <c r="O20" s="172"/>
      <c r="P20" s="168"/>
      <c r="Q20" s="168"/>
      <c r="R20" s="168"/>
      <c r="S20" s="168"/>
      <c r="T20" s="168"/>
      <c r="U20" s="392"/>
    </row>
    <row r="21" spans="1:21">
      <c r="A21" s="168">
        <v>19</v>
      </c>
      <c r="B21" s="280"/>
      <c r="C21" s="250"/>
      <c r="D21" s="322"/>
      <c r="E21" s="250"/>
      <c r="F21" s="322"/>
      <c r="G21" s="251"/>
      <c r="H21" s="252"/>
      <c r="I21" s="396"/>
      <c r="J21" s="175" t="str">
        <f t="shared" si="0"/>
        <v/>
      </c>
      <c r="K21" s="175" t="str">
        <f t="shared" si="1"/>
        <v/>
      </c>
      <c r="L21" s="175" t="str">
        <f t="shared" si="2"/>
        <v/>
      </c>
      <c r="M21" s="168"/>
      <c r="N21" s="168"/>
      <c r="O21" s="172"/>
      <c r="P21" s="168"/>
      <c r="Q21" s="168"/>
      <c r="R21" s="168"/>
      <c r="S21" s="168"/>
      <c r="T21" s="168"/>
      <c r="U21" s="168"/>
    </row>
    <row r="22" spans="1:21">
      <c r="A22" s="168">
        <v>20</v>
      </c>
      <c r="B22" s="280"/>
      <c r="C22" s="250"/>
      <c r="D22" s="322"/>
      <c r="E22" s="250"/>
      <c r="F22" s="322"/>
      <c r="G22" s="251"/>
      <c r="H22" s="252"/>
      <c r="I22" s="396"/>
      <c r="J22" s="175" t="str">
        <f t="shared" si="0"/>
        <v/>
      </c>
      <c r="K22" s="175" t="str">
        <f t="shared" si="1"/>
        <v/>
      </c>
      <c r="L22" s="175" t="str">
        <f t="shared" si="2"/>
        <v/>
      </c>
      <c r="M22" s="168"/>
      <c r="N22" s="168"/>
      <c r="O22" s="172"/>
      <c r="P22" s="168"/>
      <c r="Q22" s="168"/>
      <c r="R22" s="168"/>
      <c r="S22" s="168"/>
      <c r="T22" s="168"/>
      <c r="U22" s="168"/>
    </row>
    <row r="23" spans="1:21" hidden="1">
      <c r="A23" s="168">
        <v>21</v>
      </c>
      <c r="B23" s="280"/>
      <c r="C23" s="250"/>
      <c r="D23" s="322"/>
      <c r="E23" s="250"/>
      <c r="F23" s="322"/>
      <c r="G23" s="251"/>
      <c r="H23" s="252"/>
      <c r="I23" s="396"/>
      <c r="J23" s="175" t="str">
        <f t="shared" si="0"/>
        <v/>
      </c>
      <c r="K23" s="175" t="str">
        <f t="shared" si="1"/>
        <v/>
      </c>
      <c r="L23" s="175" t="str">
        <f t="shared" si="2"/>
        <v/>
      </c>
      <c r="M23" s="168"/>
      <c r="N23" s="168"/>
      <c r="O23" s="172"/>
      <c r="P23" s="168"/>
      <c r="Q23" s="168"/>
      <c r="R23" s="168"/>
      <c r="S23" s="168"/>
      <c r="T23" s="168"/>
      <c r="U23" s="168"/>
    </row>
    <row r="24" spans="1:21" hidden="1">
      <c r="A24" s="168">
        <v>22</v>
      </c>
      <c r="B24" s="280"/>
      <c r="C24" s="250"/>
      <c r="D24" s="322"/>
      <c r="E24" s="250"/>
      <c r="F24" s="322"/>
      <c r="G24" s="251"/>
      <c r="H24" s="252"/>
      <c r="I24" s="396"/>
      <c r="J24" s="175" t="str">
        <f t="shared" si="0"/>
        <v/>
      </c>
      <c r="K24" s="175" t="str">
        <f t="shared" si="1"/>
        <v/>
      </c>
      <c r="L24" s="175" t="str">
        <f t="shared" si="2"/>
        <v/>
      </c>
      <c r="M24" s="168"/>
      <c r="N24" s="168"/>
      <c r="O24" s="172"/>
      <c r="P24" s="168"/>
      <c r="Q24" s="168"/>
      <c r="R24" s="168"/>
      <c r="S24" s="168"/>
      <c r="T24" s="168"/>
      <c r="U24" s="168"/>
    </row>
    <row r="25" spans="1:21" hidden="1">
      <c r="A25" s="168">
        <v>23</v>
      </c>
      <c r="B25" s="280"/>
      <c r="C25" s="250"/>
      <c r="D25" s="322"/>
      <c r="E25" s="250"/>
      <c r="F25" s="322"/>
      <c r="G25" s="251"/>
      <c r="H25" s="252"/>
      <c r="I25" s="396"/>
      <c r="J25" s="175" t="str">
        <f t="shared" si="0"/>
        <v/>
      </c>
      <c r="K25" s="175" t="str">
        <f t="shared" si="1"/>
        <v/>
      </c>
      <c r="L25" s="175" t="str">
        <f t="shared" si="2"/>
        <v/>
      </c>
      <c r="M25" s="168"/>
      <c r="N25" s="168"/>
      <c r="O25" s="172"/>
      <c r="P25" s="168"/>
      <c r="Q25" s="168"/>
      <c r="R25" s="168"/>
      <c r="S25" s="168"/>
      <c r="T25" s="168"/>
      <c r="U25" s="168"/>
    </row>
    <row r="26" spans="1:21" hidden="1">
      <c r="A26" s="168">
        <v>24</v>
      </c>
      <c r="B26" s="280"/>
      <c r="C26" s="250"/>
      <c r="D26" s="322"/>
      <c r="E26" s="250"/>
      <c r="F26" s="322"/>
      <c r="G26" s="251"/>
      <c r="H26" s="252"/>
      <c r="I26" s="396"/>
      <c r="J26" s="175" t="str">
        <f t="shared" si="0"/>
        <v/>
      </c>
      <c r="K26" s="175" t="str">
        <f t="shared" si="1"/>
        <v/>
      </c>
      <c r="L26" s="175" t="str">
        <f t="shared" si="2"/>
        <v/>
      </c>
      <c r="M26" s="168"/>
      <c r="N26" s="168"/>
      <c r="O26" s="172"/>
      <c r="P26" s="168"/>
      <c r="Q26" s="168"/>
      <c r="R26" s="168"/>
      <c r="S26" s="168"/>
      <c r="T26" s="168"/>
      <c r="U26" s="168"/>
    </row>
    <row r="27" spans="1:21" hidden="1">
      <c r="A27" s="168">
        <v>25</v>
      </c>
      <c r="B27" s="280"/>
      <c r="C27" s="250"/>
      <c r="D27" s="322"/>
      <c r="E27" s="250"/>
      <c r="F27" s="322"/>
      <c r="G27" s="251"/>
      <c r="H27" s="252"/>
      <c r="I27" s="396"/>
      <c r="J27" s="175" t="str">
        <f t="shared" si="0"/>
        <v/>
      </c>
      <c r="K27" s="175" t="str">
        <f t="shared" si="1"/>
        <v/>
      </c>
      <c r="L27" s="175" t="str">
        <f t="shared" si="2"/>
        <v/>
      </c>
      <c r="M27" s="168"/>
      <c r="N27" s="168"/>
      <c r="O27" s="172"/>
      <c r="P27" s="168"/>
      <c r="Q27" s="168"/>
      <c r="R27" s="168"/>
      <c r="S27" s="168"/>
      <c r="T27" s="168"/>
      <c r="U27" s="168"/>
    </row>
    <row r="28" spans="1:21" hidden="1">
      <c r="A28" s="168">
        <v>26</v>
      </c>
      <c r="B28" s="280"/>
      <c r="C28" s="250"/>
      <c r="D28" s="322"/>
      <c r="E28" s="250"/>
      <c r="F28" s="322"/>
      <c r="G28" s="251"/>
      <c r="H28" s="252"/>
      <c r="I28" s="396"/>
      <c r="J28" s="175" t="str">
        <f t="shared" si="0"/>
        <v/>
      </c>
      <c r="K28" s="175" t="str">
        <f t="shared" si="1"/>
        <v/>
      </c>
      <c r="L28" s="175" t="str">
        <f t="shared" si="2"/>
        <v/>
      </c>
      <c r="M28" s="168"/>
      <c r="N28" s="168"/>
      <c r="O28" s="172"/>
      <c r="P28" s="168"/>
      <c r="Q28" s="168"/>
      <c r="R28" s="168"/>
      <c r="S28" s="168"/>
      <c r="T28" s="168"/>
      <c r="U28" s="168"/>
    </row>
    <row r="29" spans="1:21" hidden="1">
      <c r="A29" s="168">
        <v>27</v>
      </c>
      <c r="B29" s="280"/>
      <c r="C29" s="250"/>
      <c r="D29" s="322"/>
      <c r="E29" s="250"/>
      <c r="F29" s="322"/>
      <c r="G29" s="251"/>
      <c r="H29" s="252"/>
      <c r="I29" s="396"/>
      <c r="J29" s="175" t="str">
        <f t="shared" si="0"/>
        <v/>
      </c>
      <c r="K29" s="175" t="str">
        <f t="shared" si="1"/>
        <v/>
      </c>
      <c r="L29" s="175" t="str">
        <f t="shared" si="2"/>
        <v/>
      </c>
      <c r="M29" s="168"/>
      <c r="N29" s="168"/>
      <c r="O29" s="172"/>
      <c r="P29" s="168"/>
      <c r="Q29" s="168"/>
      <c r="R29" s="168"/>
      <c r="S29" s="168"/>
      <c r="T29" s="168"/>
      <c r="U29" s="168"/>
    </row>
    <row r="30" spans="1:21" hidden="1">
      <c r="A30" s="168">
        <v>28</v>
      </c>
      <c r="B30" s="280"/>
      <c r="C30" s="250"/>
      <c r="D30" s="322"/>
      <c r="E30" s="250"/>
      <c r="F30" s="322"/>
      <c r="G30" s="251"/>
      <c r="H30" s="252"/>
      <c r="I30" s="396"/>
      <c r="J30" s="175" t="str">
        <f t="shared" si="0"/>
        <v/>
      </c>
      <c r="K30" s="175" t="str">
        <f t="shared" si="1"/>
        <v/>
      </c>
      <c r="L30" s="175" t="str">
        <f t="shared" si="2"/>
        <v/>
      </c>
      <c r="M30" s="168"/>
      <c r="N30" s="168"/>
      <c r="O30" s="172"/>
      <c r="P30" s="168"/>
      <c r="Q30" s="168"/>
      <c r="R30" s="168"/>
      <c r="S30" s="168"/>
      <c r="T30" s="168"/>
      <c r="U30" s="168"/>
    </row>
    <row r="31" spans="1:21" hidden="1">
      <c r="A31" s="168">
        <v>29</v>
      </c>
      <c r="B31" s="280"/>
      <c r="C31" s="250"/>
      <c r="D31" s="322"/>
      <c r="E31" s="250"/>
      <c r="F31" s="322"/>
      <c r="G31" s="251"/>
      <c r="H31" s="252"/>
      <c r="I31" s="396"/>
      <c r="J31" s="175" t="str">
        <f t="shared" si="0"/>
        <v/>
      </c>
      <c r="K31" s="175" t="str">
        <f t="shared" si="1"/>
        <v/>
      </c>
      <c r="L31" s="175" t="str">
        <f t="shared" si="2"/>
        <v/>
      </c>
      <c r="M31" s="168"/>
      <c r="N31" s="168"/>
      <c r="O31" s="172"/>
      <c r="P31" s="168"/>
      <c r="Q31" s="168"/>
      <c r="R31" s="168"/>
      <c r="S31" s="168"/>
      <c r="T31" s="168"/>
      <c r="U31" s="168"/>
    </row>
    <row r="32" spans="1:21" hidden="1">
      <c r="A32" s="168">
        <v>30</v>
      </c>
      <c r="B32" s="280"/>
      <c r="C32" s="250"/>
      <c r="D32" s="322"/>
      <c r="E32" s="250"/>
      <c r="F32" s="322"/>
      <c r="G32" s="251"/>
      <c r="H32" s="252"/>
      <c r="I32" s="396"/>
      <c r="J32" s="175" t="str">
        <f t="shared" si="0"/>
        <v/>
      </c>
      <c r="K32" s="175" t="str">
        <f t="shared" si="1"/>
        <v/>
      </c>
      <c r="L32" s="175" t="str">
        <f t="shared" si="2"/>
        <v/>
      </c>
      <c r="M32" s="168"/>
      <c r="N32" s="168"/>
      <c r="O32" s="172"/>
      <c r="P32" s="168"/>
      <c r="Q32" s="168"/>
      <c r="R32" s="168"/>
      <c r="S32" s="168"/>
      <c r="T32" s="168"/>
      <c r="U32" s="168"/>
    </row>
    <row r="33" spans="1:21" hidden="1">
      <c r="A33" s="168">
        <v>31</v>
      </c>
      <c r="B33" s="280"/>
      <c r="C33" s="250"/>
      <c r="D33" s="322"/>
      <c r="E33" s="250"/>
      <c r="F33" s="322"/>
      <c r="G33" s="251"/>
      <c r="H33" s="252"/>
      <c r="I33" s="396"/>
      <c r="J33" s="175" t="str">
        <f t="shared" si="0"/>
        <v/>
      </c>
      <c r="K33" s="175" t="str">
        <f t="shared" si="1"/>
        <v/>
      </c>
      <c r="L33" s="175" t="str">
        <f t="shared" si="2"/>
        <v/>
      </c>
      <c r="M33" s="168"/>
      <c r="N33" s="168"/>
      <c r="O33" s="172"/>
      <c r="P33" s="168"/>
      <c r="Q33" s="168"/>
      <c r="R33" s="168"/>
      <c r="S33" s="168"/>
      <c r="T33" s="168"/>
      <c r="U33" s="168"/>
    </row>
    <row r="34" spans="1:21">
      <c r="A34" s="168"/>
      <c r="B34" s="168"/>
      <c r="C34" s="168"/>
      <c r="D34" s="168"/>
      <c r="E34" s="168"/>
      <c r="F34" s="168"/>
      <c r="G34" s="168"/>
      <c r="H34" s="168"/>
      <c r="I34" s="397"/>
      <c r="J34" s="172"/>
      <c r="K34" s="168"/>
      <c r="L34" s="168"/>
      <c r="M34" s="168"/>
      <c r="N34" s="168"/>
      <c r="O34" s="172"/>
      <c r="P34" s="168"/>
      <c r="Q34" s="168"/>
      <c r="R34" s="168"/>
      <c r="S34" s="168"/>
      <c r="T34" s="168"/>
      <c r="U34" s="168"/>
    </row>
    <row r="35" spans="1:21">
      <c r="A35" s="168"/>
      <c r="B35" s="130" t="s">
        <v>385</v>
      </c>
      <c r="C35" s="168"/>
      <c r="D35" s="168"/>
      <c r="E35" s="168"/>
      <c r="F35" s="168"/>
      <c r="G35" s="168"/>
      <c r="H35" s="168"/>
      <c r="I35" s="397"/>
      <c r="J35" s="168"/>
      <c r="K35" s="168"/>
      <c r="L35" s="168"/>
      <c r="M35" s="168"/>
      <c r="N35" s="168"/>
      <c r="O35" s="172"/>
      <c r="P35" s="168"/>
      <c r="Q35" s="168"/>
      <c r="R35" s="168"/>
      <c r="S35" s="168"/>
      <c r="T35" s="168"/>
      <c r="U35" s="168"/>
    </row>
    <row r="36" spans="1:21">
      <c r="A36" s="168"/>
      <c r="B36" s="130" t="s">
        <v>384</v>
      </c>
      <c r="C36" s="168"/>
      <c r="D36" s="168"/>
      <c r="E36" s="168"/>
      <c r="F36" s="168"/>
      <c r="G36" s="168"/>
      <c r="H36" s="168"/>
      <c r="I36" s="397"/>
      <c r="J36" s="168"/>
      <c r="K36" s="168"/>
      <c r="L36" s="168"/>
      <c r="M36" s="168"/>
      <c r="N36" s="168"/>
      <c r="O36" s="172"/>
      <c r="P36" s="168"/>
      <c r="Q36" s="168"/>
      <c r="R36" s="168"/>
      <c r="S36" s="168"/>
      <c r="T36" s="168"/>
      <c r="U36" s="168"/>
    </row>
    <row r="37" spans="1:21">
      <c r="A37" s="168"/>
      <c r="B37" s="130" t="s">
        <v>243</v>
      </c>
      <c r="C37" s="168"/>
      <c r="D37" s="168"/>
      <c r="E37" s="168"/>
      <c r="F37" s="168"/>
      <c r="G37" s="168"/>
      <c r="H37" s="168"/>
      <c r="I37" s="397"/>
      <c r="J37" s="168"/>
      <c r="K37" s="168"/>
      <c r="L37" s="168"/>
      <c r="M37" s="168"/>
      <c r="N37" s="168"/>
      <c r="O37" s="172"/>
      <c r="P37" s="168"/>
      <c r="Q37" s="168"/>
      <c r="R37" s="168"/>
      <c r="S37" s="168"/>
      <c r="T37" s="168"/>
      <c r="U37" s="168"/>
    </row>
    <row r="38" spans="1:21">
      <c r="A38" s="168"/>
      <c r="B38" s="471" t="s">
        <v>137</v>
      </c>
      <c r="C38" s="471"/>
      <c r="D38" s="471"/>
      <c r="E38" s="471"/>
      <c r="F38" s="471"/>
      <c r="G38" s="471"/>
      <c r="H38" s="471"/>
      <c r="I38" s="471"/>
      <c r="J38" s="334"/>
      <c r="K38" s="334"/>
      <c r="L38" s="334"/>
      <c r="M38" s="334"/>
      <c r="N38" s="168"/>
      <c r="O38" s="172"/>
      <c r="P38" s="168"/>
      <c r="Q38" s="168"/>
      <c r="R38" s="168"/>
      <c r="S38" s="168"/>
      <c r="T38" s="168"/>
      <c r="U38" s="168"/>
    </row>
    <row r="39" spans="1:21">
      <c r="A39" s="168"/>
      <c r="B39" s="334" t="s">
        <v>242</v>
      </c>
      <c r="C39" s="168"/>
      <c r="D39" s="168"/>
      <c r="E39" s="168"/>
      <c r="F39" s="168"/>
      <c r="G39" s="168"/>
      <c r="H39" s="168"/>
      <c r="I39" s="397"/>
      <c r="J39" s="168"/>
      <c r="K39" s="168"/>
      <c r="L39" s="168"/>
      <c r="M39" s="168"/>
      <c r="N39" s="168"/>
      <c r="O39" s="172"/>
      <c r="P39" s="168"/>
      <c r="Q39" s="168"/>
      <c r="R39" s="168"/>
      <c r="S39" s="168"/>
      <c r="T39" s="168"/>
      <c r="U39" s="168"/>
    </row>
    <row r="40" spans="1:21">
      <c r="N40" s="168"/>
      <c r="O40" s="172"/>
      <c r="P40" s="168"/>
    </row>
    <row r="41" spans="1:21">
      <c r="N41" s="170"/>
      <c r="O41" s="174"/>
      <c r="P41" s="170"/>
    </row>
    <row r="42" spans="1:21">
      <c r="N42" s="168"/>
      <c r="O42" s="172"/>
      <c r="P42" s="168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E41" sqref="E41"/>
    </sheetView>
  </sheetViews>
  <sheetFormatPr defaultRowHeight="14.25"/>
  <cols>
    <col min="1" max="2" width="9" style="160"/>
    <col min="3" max="3" width="13.375" style="160" customWidth="1"/>
    <col min="4" max="6" width="9" style="160"/>
    <col min="7" max="7" width="8.375" style="160" customWidth="1"/>
    <col min="8" max="8" width="13.25" style="160" customWidth="1"/>
    <col min="9" max="9" width="11.125" style="160" customWidth="1"/>
    <col min="10" max="262" width="9" style="160"/>
    <col min="263" max="263" width="8.375" style="160" customWidth="1"/>
    <col min="264" max="264" width="16" style="160" customWidth="1"/>
    <col min="265" max="518" width="9" style="160"/>
    <col min="519" max="519" width="8.375" style="160" customWidth="1"/>
    <col min="520" max="520" width="16" style="160" customWidth="1"/>
    <col min="521" max="774" width="9" style="160"/>
    <col min="775" max="775" width="8.375" style="160" customWidth="1"/>
    <col min="776" max="776" width="16" style="160" customWidth="1"/>
    <col min="777" max="1030" width="9" style="160"/>
    <col min="1031" max="1031" width="8.375" style="160" customWidth="1"/>
    <col min="1032" max="1032" width="16" style="160" customWidth="1"/>
    <col min="1033" max="1286" width="9" style="160"/>
    <col min="1287" max="1287" width="8.375" style="160" customWidth="1"/>
    <col min="1288" max="1288" width="16" style="160" customWidth="1"/>
    <col min="1289" max="1542" width="9" style="160"/>
    <col min="1543" max="1543" width="8.375" style="160" customWidth="1"/>
    <col min="1544" max="1544" width="16" style="160" customWidth="1"/>
    <col min="1545" max="1798" width="9" style="160"/>
    <col min="1799" max="1799" width="8.375" style="160" customWidth="1"/>
    <col min="1800" max="1800" width="16" style="160" customWidth="1"/>
    <col min="1801" max="2054" width="9" style="160"/>
    <col min="2055" max="2055" width="8.375" style="160" customWidth="1"/>
    <col min="2056" max="2056" width="16" style="160" customWidth="1"/>
    <col min="2057" max="2310" width="9" style="160"/>
    <col min="2311" max="2311" width="8.375" style="160" customWidth="1"/>
    <col min="2312" max="2312" width="16" style="160" customWidth="1"/>
    <col min="2313" max="2566" width="9" style="160"/>
    <col min="2567" max="2567" width="8.375" style="160" customWidth="1"/>
    <col min="2568" max="2568" width="16" style="160" customWidth="1"/>
    <col min="2569" max="2822" width="9" style="160"/>
    <col min="2823" max="2823" width="8.375" style="160" customWidth="1"/>
    <col min="2824" max="2824" width="16" style="160" customWidth="1"/>
    <col min="2825" max="3078" width="9" style="160"/>
    <col min="3079" max="3079" width="8.375" style="160" customWidth="1"/>
    <col min="3080" max="3080" width="16" style="160" customWidth="1"/>
    <col min="3081" max="3334" width="9" style="160"/>
    <col min="3335" max="3335" width="8.375" style="160" customWidth="1"/>
    <col min="3336" max="3336" width="16" style="160" customWidth="1"/>
    <col min="3337" max="3590" width="9" style="160"/>
    <col min="3591" max="3591" width="8.375" style="160" customWidth="1"/>
    <col min="3592" max="3592" width="16" style="160" customWidth="1"/>
    <col min="3593" max="3846" width="9" style="160"/>
    <col min="3847" max="3847" width="8.375" style="160" customWidth="1"/>
    <col min="3848" max="3848" width="16" style="160" customWidth="1"/>
    <col min="3849" max="4102" width="9" style="160"/>
    <col min="4103" max="4103" width="8.375" style="160" customWidth="1"/>
    <col min="4104" max="4104" width="16" style="160" customWidth="1"/>
    <col min="4105" max="4358" width="9" style="160"/>
    <col min="4359" max="4359" width="8.375" style="160" customWidth="1"/>
    <col min="4360" max="4360" width="16" style="160" customWidth="1"/>
    <col min="4361" max="4614" width="9" style="160"/>
    <col min="4615" max="4615" width="8.375" style="160" customWidth="1"/>
    <col min="4616" max="4616" width="16" style="160" customWidth="1"/>
    <col min="4617" max="4870" width="9" style="160"/>
    <col min="4871" max="4871" width="8.375" style="160" customWidth="1"/>
    <col min="4872" max="4872" width="16" style="160" customWidth="1"/>
    <col min="4873" max="5126" width="9" style="160"/>
    <col min="5127" max="5127" width="8.375" style="160" customWidth="1"/>
    <col min="5128" max="5128" width="16" style="160" customWidth="1"/>
    <col min="5129" max="5382" width="9" style="160"/>
    <col min="5383" max="5383" width="8.375" style="160" customWidth="1"/>
    <col min="5384" max="5384" width="16" style="160" customWidth="1"/>
    <col min="5385" max="5638" width="9" style="160"/>
    <col min="5639" max="5639" width="8.375" style="160" customWidth="1"/>
    <col min="5640" max="5640" width="16" style="160" customWidth="1"/>
    <col min="5641" max="5894" width="9" style="160"/>
    <col min="5895" max="5895" width="8.375" style="160" customWidth="1"/>
    <col min="5896" max="5896" width="16" style="160" customWidth="1"/>
    <col min="5897" max="6150" width="9" style="160"/>
    <col min="6151" max="6151" width="8.375" style="160" customWidth="1"/>
    <col min="6152" max="6152" width="16" style="160" customWidth="1"/>
    <col min="6153" max="6406" width="9" style="160"/>
    <col min="6407" max="6407" width="8.375" style="160" customWidth="1"/>
    <col min="6408" max="6408" width="16" style="160" customWidth="1"/>
    <col min="6409" max="6662" width="9" style="160"/>
    <col min="6663" max="6663" width="8.375" style="160" customWidth="1"/>
    <col min="6664" max="6664" width="16" style="160" customWidth="1"/>
    <col min="6665" max="6918" width="9" style="160"/>
    <col min="6919" max="6919" width="8.375" style="160" customWidth="1"/>
    <col min="6920" max="6920" width="16" style="160" customWidth="1"/>
    <col min="6921" max="7174" width="9" style="160"/>
    <col min="7175" max="7175" width="8.375" style="160" customWidth="1"/>
    <col min="7176" max="7176" width="16" style="160" customWidth="1"/>
    <col min="7177" max="7430" width="9" style="160"/>
    <col min="7431" max="7431" width="8.375" style="160" customWidth="1"/>
    <col min="7432" max="7432" width="16" style="160" customWidth="1"/>
    <col min="7433" max="7686" width="9" style="160"/>
    <col min="7687" max="7687" width="8.375" style="160" customWidth="1"/>
    <col min="7688" max="7688" width="16" style="160" customWidth="1"/>
    <col min="7689" max="7942" width="9" style="160"/>
    <col min="7943" max="7943" width="8.375" style="160" customWidth="1"/>
    <col min="7944" max="7944" width="16" style="160" customWidth="1"/>
    <col min="7945" max="8198" width="9" style="160"/>
    <col min="8199" max="8199" width="8.375" style="160" customWidth="1"/>
    <col min="8200" max="8200" width="16" style="160" customWidth="1"/>
    <col min="8201" max="8454" width="9" style="160"/>
    <col min="8455" max="8455" width="8.375" style="160" customWidth="1"/>
    <col min="8456" max="8456" width="16" style="160" customWidth="1"/>
    <col min="8457" max="8710" width="9" style="160"/>
    <col min="8711" max="8711" width="8.375" style="160" customWidth="1"/>
    <col min="8712" max="8712" width="16" style="160" customWidth="1"/>
    <col min="8713" max="8966" width="9" style="160"/>
    <col min="8967" max="8967" width="8.375" style="160" customWidth="1"/>
    <col min="8968" max="8968" width="16" style="160" customWidth="1"/>
    <col min="8969" max="9222" width="9" style="160"/>
    <col min="9223" max="9223" width="8.375" style="160" customWidth="1"/>
    <col min="9224" max="9224" width="16" style="160" customWidth="1"/>
    <col min="9225" max="9478" width="9" style="160"/>
    <col min="9479" max="9479" width="8.375" style="160" customWidth="1"/>
    <col min="9480" max="9480" width="16" style="160" customWidth="1"/>
    <col min="9481" max="9734" width="9" style="160"/>
    <col min="9735" max="9735" width="8.375" style="160" customWidth="1"/>
    <col min="9736" max="9736" width="16" style="160" customWidth="1"/>
    <col min="9737" max="9990" width="9" style="160"/>
    <col min="9991" max="9991" width="8.375" style="160" customWidth="1"/>
    <col min="9992" max="9992" width="16" style="160" customWidth="1"/>
    <col min="9993" max="10246" width="9" style="160"/>
    <col min="10247" max="10247" width="8.375" style="160" customWidth="1"/>
    <col min="10248" max="10248" width="16" style="160" customWidth="1"/>
    <col min="10249" max="10502" width="9" style="160"/>
    <col min="10503" max="10503" width="8.375" style="160" customWidth="1"/>
    <col min="10504" max="10504" width="16" style="160" customWidth="1"/>
    <col min="10505" max="10758" width="9" style="160"/>
    <col min="10759" max="10759" width="8.375" style="160" customWidth="1"/>
    <col min="10760" max="10760" width="16" style="160" customWidth="1"/>
    <col min="10761" max="11014" width="9" style="160"/>
    <col min="11015" max="11015" width="8.375" style="160" customWidth="1"/>
    <col min="11016" max="11016" width="16" style="160" customWidth="1"/>
    <col min="11017" max="11270" width="9" style="160"/>
    <col min="11271" max="11271" width="8.375" style="160" customWidth="1"/>
    <col min="11272" max="11272" width="16" style="160" customWidth="1"/>
    <col min="11273" max="11526" width="9" style="160"/>
    <col min="11527" max="11527" width="8.375" style="160" customWidth="1"/>
    <col min="11528" max="11528" width="16" style="160" customWidth="1"/>
    <col min="11529" max="11782" width="9" style="160"/>
    <col min="11783" max="11783" width="8.375" style="160" customWidth="1"/>
    <col min="11784" max="11784" width="16" style="160" customWidth="1"/>
    <col min="11785" max="12038" width="9" style="160"/>
    <col min="12039" max="12039" width="8.375" style="160" customWidth="1"/>
    <col min="12040" max="12040" width="16" style="160" customWidth="1"/>
    <col min="12041" max="12294" width="9" style="160"/>
    <col min="12295" max="12295" width="8.375" style="160" customWidth="1"/>
    <col min="12296" max="12296" width="16" style="160" customWidth="1"/>
    <col min="12297" max="12550" width="9" style="160"/>
    <col min="12551" max="12551" width="8.375" style="160" customWidth="1"/>
    <col min="12552" max="12552" width="16" style="160" customWidth="1"/>
    <col min="12553" max="12806" width="9" style="160"/>
    <col min="12807" max="12807" width="8.375" style="160" customWidth="1"/>
    <col min="12808" max="12808" width="16" style="160" customWidth="1"/>
    <col min="12809" max="13062" width="9" style="160"/>
    <col min="13063" max="13063" width="8.375" style="160" customWidth="1"/>
    <col min="13064" max="13064" width="16" style="160" customWidth="1"/>
    <col min="13065" max="13318" width="9" style="160"/>
    <col min="13319" max="13319" width="8.375" style="160" customWidth="1"/>
    <col min="13320" max="13320" width="16" style="160" customWidth="1"/>
    <col min="13321" max="13574" width="9" style="160"/>
    <col min="13575" max="13575" width="8.375" style="160" customWidth="1"/>
    <col min="13576" max="13576" width="16" style="160" customWidth="1"/>
    <col min="13577" max="13830" width="9" style="160"/>
    <col min="13831" max="13831" width="8.375" style="160" customWidth="1"/>
    <col min="13832" max="13832" width="16" style="160" customWidth="1"/>
    <col min="13833" max="14086" width="9" style="160"/>
    <col min="14087" max="14087" width="8.375" style="160" customWidth="1"/>
    <col min="14088" max="14088" width="16" style="160" customWidth="1"/>
    <col min="14089" max="14342" width="9" style="160"/>
    <col min="14343" max="14343" width="8.375" style="160" customWidth="1"/>
    <col min="14344" max="14344" width="16" style="160" customWidth="1"/>
    <col min="14345" max="14598" width="9" style="160"/>
    <col min="14599" max="14599" width="8.375" style="160" customWidth="1"/>
    <col min="14600" max="14600" width="16" style="160" customWidth="1"/>
    <col min="14601" max="14854" width="9" style="160"/>
    <col min="14855" max="14855" width="8.375" style="160" customWidth="1"/>
    <col min="14856" max="14856" width="16" style="160" customWidth="1"/>
    <col min="14857" max="15110" width="9" style="160"/>
    <col min="15111" max="15111" width="8.375" style="160" customWidth="1"/>
    <col min="15112" max="15112" width="16" style="160" customWidth="1"/>
    <col min="15113" max="15366" width="9" style="160"/>
    <col min="15367" max="15367" width="8.375" style="160" customWidth="1"/>
    <col min="15368" max="15368" width="16" style="160" customWidth="1"/>
    <col min="15369" max="15622" width="9" style="160"/>
    <col min="15623" max="15623" width="8.375" style="160" customWidth="1"/>
    <col min="15624" max="15624" width="16" style="160" customWidth="1"/>
    <col min="15625" max="15878" width="9" style="160"/>
    <col min="15879" max="15879" width="8.375" style="160" customWidth="1"/>
    <col min="15880" max="15880" width="16" style="160" customWidth="1"/>
    <col min="15881" max="16134" width="9" style="160"/>
    <col min="16135" max="16135" width="8.375" style="160" customWidth="1"/>
    <col min="16136" max="16136" width="16" style="160" customWidth="1"/>
    <col min="16137" max="16384" width="9" style="160"/>
  </cols>
  <sheetData>
    <row r="1" spans="1:9">
      <c r="A1" s="361"/>
      <c r="B1" s="240"/>
      <c r="C1" s="240"/>
      <c r="D1" s="240"/>
      <c r="E1" s="240"/>
      <c r="F1" s="240"/>
      <c r="G1" s="240"/>
      <c r="H1" s="361"/>
      <c r="I1" s="240"/>
    </row>
    <row r="2" spans="1:9" s="161" customFormat="1" ht="13.5">
      <c r="A2" s="354"/>
      <c r="B2" s="354"/>
      <c r="C2" s="354"/>
      <c r="D2" s="354"/>
      <c r="E2" s="354"/>
      <c r="F2" s="354"/>
      <c r="G2" s="354"/>
      <c r="H2" s="354"/>
      <c r="I2" s="354"/>
    </row>
    <row r="3" spans="1:9" s="161" customFormat="1" ht="13.5">
      <c r="A3" s="354"/>
      <c r="B3" s="354"/>
      <c r="C3" s="354"/>
      <c r="D3" s="354"/>
      <c r="E3" s="354"/>
      <c r="F3" s="354"/>
      <c r="G3" s="354"/>
      <c r="H3" s="355" t="s">
        <v>117</v>
      </c>
      <c r="I3" s="354"/>
    </row>
    <row r="4" spans="1:9" s="161" customFormat="1" ht="13.5">
      <c r="A4" s="354"/>
      <c r="B4" s="354"/>
      <c r="C4" s="354"/>
      <c r="D4" s="354"/>
      <c r="E4" s="354"/>
      <c r="F4" s="354"/>
      <c r="G4" s="354"/>
      <c r="H4" s="354"/>
      <c r="I4" s="354"/>
    </row>
    <row r="5" spans="1:9" s="161" customFormat="1" ht="13.5">
      <c r="A5" s="473" t="s">
        <v>118</v>
      </c>
      <c r="B5" s="473"/>
      <c r="C5" s="473"/>
      <c r="D5" s="354"/>
      <c r="E5" s="354"/>
      <c r="F5" s="354"/>
      <c r="G5" s="354"/>
      <c r="H5" s="354"/>
      <c r="I5" s="354"/>
    </row>
    <row r="6" spans="1:9" s="161" customFormat="1" ht="13.5">
      <c r="A6" s="473" t="s">
        <v>202</v>
      </c>
      <c r="B6" s="473"/>
      <c r="C6" s="473"/>
      <c r="D6" s="354"/>
      <c r="E6" s="354"/>
      <c r="F6" s="354"/>
      <c r="G6" s="354"/>
      <c r="H6" s="354"/>
      <c r="I6" s="354"/>
    </row>
    <row r="7" spans="1:9" s="161" customFormat="1" ht="13.5">
      <c r="A7" s="473"/>
      <c r="B7" s="473"/>
      <c r="C7" s="473"/>
      <c r="D7" s="354"/>
      <c r="E7" s="354"/>
      <c r="F7" s="354"/>
      <c r="G7" s="354"/>
      <c r="H7" s="354"/>
      <c r="I7" s="354"/>
    </row>
    <row r="8" spans="1:9" s="161" customFormat="1" ht="13.5">
      <c r="A8" s="356"/>
      <c r="B8" s="356"/>
      <c r="C8" s="356"/>
      <c r="D8" s="354"/>
      <c r="E8" s="354"/>
      <c r="F8" s="354"/>
      <c r="G8" s="354"/>
      <c r="H8" s="354"/>
      <c r="I8" s="354"/>
    </row>
    <row r="9" spans="1:9" s="161" customFormat="1" ht="13.5">
      <c r="A9" s="356"/>
      <c r="B9" s="356"/>
      <c r="C9" s="356"/>
      <c r="D9" s="354"/>
      <c r="E9" s="354"/>
      <c r="F9" s="354"/>
      <c r="G9" s="354"/>
      <c r="H9" s="354"/>
      <c r="I9" s="354"/>
    </row>
    <row r="10" spans="1:9" s="161" customFormat="1" ht="13.5">
      <c r="A10" s="354"/>
      <c r="B10" s="354"/>
      <c r="C10" s="354"/>
      <c r="D10" s="354"/>
      <c r="E10" s="354"/>
      <c r="F10" s="354"/>
      <c r="G10" s="354"/>
      <c r="H10" s="354"/>
      <c r="I10" s="354"/>
    </row>
    <row r="11" spans="1:9" s="161" customFormat="1" ht="13.5">
      <c r="A11" s="354"/>
      <c r="B11" s="354"/>
      <c r="C11" s="354"/>
      <c r="D11" s="354"/>
      <c r="E11" s="356"/>
      <c r="F11" s="354"/>
      <c r="G11" s="354"/>
      <c r="H11" s="354"/>
      <c r="I11" s="354"/>
    </row>
    <row r="12" spans="1:9" s="161" customFormat="1" ht="13.5">
      <c r="A12" s="354"/>
      <c r="B12" s="354"/>
      <c r="C12" s="354"/>
      <c r="D12" s="354"/>
      <c r="E12" s="356"/>
      <c r="F12" s="354" t="s">
        <v>119</v>
      </c>
      <c r="G12" s="354"/>
      <c r="H12" s="354"/>
      <c r="I12" s="354"/>
    </row>
    <row r="13" spans="1:9" s="161" customFormat="1" ht="13.5">
      <c r="A13" s="354"/>
      <c r="B13" s="354"/>
      <c r="C13" s="354"/>
      <c r="D13" s="354"/>
      <c r="E13" s="356"/>
      <c r="F13" s="354" t="s">
        <v>120</v>
      </c>
      <c r="G13" s="354"/>
      <c r="H13" s="354"/>
      <c r="I13" s="354"/>
    </row>
    <row r="14" spans="1:9" s="161" customFormat="1" ht="13.5">
      <c r="A14" s="354"/>
      <c r="B14" s="354"/>
      <c r="C14" s="354"/>
      <c r="D14" s="354"/>
      <c r="E14" s="357"/>
      <c r="F14" s="354"/>
      <c r="G14" s="354"/>
      <c r="H14" s="354"/>
      <c r="I14" s="354"/>
    </row>
    <row r="15" spans="1:9" s="161" customFormat="1" ht="13.5">
      <c r="A15" s="354"/>
      <c r="B15" s="354"/>
      <c r="C15" s="354"/>
      <c r="D15" s="354"/>
      <c r="E15" s="354"/>
      <c r="F15" s="354"/>
      <c r="G15" s="354"/>
      <c r="H15" s="354"/>
      <c r="I15" s="354"/>
    </row>
    <row r="16" spans="1:9" s="161" customFormat="1">
      <c r="A16" s="354"/>
      <c r="B16" s="354"/>
      <c r="C16" s="240"/>
      <c r="D16" s="354"/>
      <c r="E16" s="354"/>
      <c r="F16" s="354"/>
      <c r="G16" s="354"/>
      <c r="H16" s="354"/>
      <c r="I16" s="354"/>
    </row>
    <row r="17" spans="1:9" s="161" customFormat="1" ht="13.5">
      <c r="A17" s="354"/>
      <c r="B17" s="354"/>
      <c r="C17" s="354"/>
      <c r="D17" s="354"/>
      <c r="E17" s="354"/>
      <c r="F17" s="354"/>
      <c r="G17" s="354"/>
      <c r="H17" s="354"/>
      <c r="I17" s="354"/>
    </row>
    <row r="18" spans="1:9" s="161" customFormat="1" ht="13.5">
      <c r="A18" s="354"/>
      <c r="B18" s="354"/>
      <c r="C18" s="354"/>
      <c r="D18" s="354"/>
      <c r="E18" s="354"/>
      <c r="F18" s="354"/>
      <c r="G18" s="354"/>
      <c r="H18" s="354"/>
      <c r="I18" s="354"/>
    </row>
    <row r="19" spans="1:9" ht="14.25" customHeight="1">
      <c r="A19" s="474" t="str">
        <f>様式1!E7</f>
        <v>○○○国○○○○○○○○○事業</v>
      </c>
      <c r="B19" s="474"/>
      <c r="C19" s="474"/>
      <c r="D19" s="474"/>
      <c r="E19" s="474"/>
      <c r="F19" s="474"/>
      <c r="G19" s="474"/>
      <c r="H19" s="474"/>
      <c r="I19" s="474"/>
    </row>
    <row r="20" spans="1:9">
      <c r="A20" s="474"/>
      <c r="B20" s="474"/>
      <c r="C20" s="474"/>
      <c r="D20" s="474"/>
      <c r="E20" s="474"/>
      <c r="F20" s="474"/>
      <c r="G20" s="474"/>
      <c r="H20" s="474"/>
      <c r="I20" s="474"/>
    </row>
    <row r="21" spans="1:9">
      <c r="A21" s="475" t="s">
        <v>130</v>
      </c>
      <c r="B21" s="475"/>
      <c r="C21" s="475"/>
      <c r="D21" s="475"/>
      <c r="E21" s="475"/>
      <c r="F21" s="475"/>
      <c r="G21" s="475"/>
      <c r="H21" s="475"/>
      <c r="I21" s="475"/>
    </row>
    <row r="22" spans="1:9">
      <c r="A22" s="358"/>
      <c r="B22" s="358"/>
      <c r="C22" s="358"/>
      <c r="D22" s="358"/>
      <c r="E22" s="358"/>
      <c r="F22" s="358"/>
      <c r="G22" s="358"/>
      <c r="H22" s="358"/>
      <c r="I22" s="240"/>
    </row>
    <row r="23" spans="1:9">
      <c r="A23" s="358"/>
      <c r="B23" s="358"/>
      <c r="C23" s="358"/>
      <c r="D23" s="358"/>
      <c r="E23" s="358"/>
      <c r="F23" s="358"/>
      <c r="G23" s="358"/>
      <c r="H23" s="358"/>
      <c r="I23" s="240"/>
    </row>
    <row r="24" spans="1:9">
      <c r="A24" s="476" t="s">
        <v>121</v>
      </c>
      <c r="B24" s="476"/>
      <c r="C24" s="476"/>
      <c r="D24" s="476"/>
      <c r="E24" s="476"/>
      <c r="F24" s="476"/>
      <c r="G24" s="476"/>
      <c r="H24" s="476"/>
      <c r="I24" s="240"/>
    </row>
    <row r="25" spans="1:9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>
      <c r="A28" s="472" t="s">
        <v>122</v>
      </c>
      <c r="B28" s="472"/>
      <c r="C28" s="472"/>
      <c r="D28" s="472"/>
      <c r="E28" s="472"/>
      <c r="F28" s="472"/>
      <c r="G28" s="472"/>
      <c r="H28" s="472"/>
      <c r="I28" s="240"/>
    </row>
    <row r="29" spans="1:9">
      <c r="A29" s="240"/>
      <c r="B29" s="240"/>
      <c r="C29" s="240"/>
      <c r="D29" s="240"/>
      <c r="E29" s="240"/>
      <c r="F29" s="240"/>
      <c r="G29" s="240"/>
      <c r="H29" s="240"/>
      <c r="I29" s="240"/>
    </row>
    <row r="30" spans="1:9">
      <c r="A30" s="240" t="s">
        <v>123</v>
      </c>
      <c r="B30" s="240"/>
      <c r="C30" s="359">
        <f>様式1!G31</f>
        <v>28999080</v>
      </c>
      <c r="D30" s="360" t="s">
        <v>11</v>
      </c>
      <c r="E30" s="242" t="s">
        <v>132</v>
      </c>
      <c r="F30" s="242"/>
      <c r="G30" s="242"/>
      <c r="H30" s="359">
        <f>様式1!G30</f>
        <v>2148080</v>
      </c>
      <c r="I30" s="240" t="s">
        <v>131</v>
      </c>
    </row>
    <row r="31" spans="1:9">
      <c r="A31" s="240"/>
      <c r="B31" s="240"/>
      <c r="C31" s="240"/>
      <c r="D31" s="240"/>
      <c r="E31" s="240"/>
      <c r="F31" s="240"/>
      <c r="G31" s="240"/>
      <c r="H31" s="240"/>
      <c r="I31" s="240"/>
    </row>
    <row r="32" spans="1:9">
      <c r="A32" s="240"/>
      <c r="B32" s="240"/>
      <c r="C32" s="240"/>
      <c r="D32" s="240"/>
      <c r="E32" s="240"/>
      <c r="F32" s="240"/>
      <c r="G32" s="240"/>
      <c r="H32" s="240"/>
      <c r="I32" s="240"/>
    </row>
    <row r="33" spans="1:9">
      <c r="A33" s="240" t="s">
        <v>124</v>
      </c>
      <c r="B33" s="240"/>
      <c r="C33" s="240"/>
      <c r="D33" s="240"/>
      <c r="E33" s="240"/>
      <c r="F33" s="240"/>
      <c r="G33" s="240"/>
      <c r="H33" s="240"/>
      <c r="I33" s="240"/>
    </row>
    <row r="34" spans="1:9">
      <c r="A34" s="240"/>
      <c r="B34" s="240"/>
      <c r="C34" s="240"/>
      <c r="D34" s="240"/>
      <c r="E34" s="240"/>
      <c r="F34" s="240"/>
      <c r="G34" s="240"/>
      <c r="H34" s="240"/>
      <c r="I34" s="240"/>
    </row>
    <row r="35" spans="1:9">
      <c r="A35" s="240"/>
      <c r="B35" s="240"/>
      <c r="C35" s="240"/>
      <c r="D35" s="240"/>
      <c r="E35" s="240"/>
      <c r="F35" s="240"/>
      <c r="G35" s="240"/>
      <c r="H35" s="240"/>
      <c r="I35" s="240"/>
    </row>
    <row r="36" spans="1:9">
      <c r="A36" s="240"/>
      <c r="B36" s="240"/>
      <c r="C36" s="240"/>
      <c r="D36" s="240"/>
      <c r="E36" s="240"/>
      <c r="F36" s="240"/>
      <c r="G36" s="240"/>
      <c r="H36" s="240"/>
      <c r="I36" s="240"/>
    </row>
    <row r="37" spans="1:9">
      <c r="A37" s="240"/>
      <c r="B37" s="240"/>
      <c r="C37" s="240"/>
      <c r="D37" s="240"/>
      <c r="E37" s="240"/>
      <c r="F37" s="240"/>
      <c r="G37" s="240"/>
      <c r="H37" s="240"/>
      <c r="I37" s="240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40"/>
    </row>
    <row r="39" spans="1:9">
      <c r="A39" s="240"/>
      <c r="B39" s="240"/>
      <c r="C39" s="240"/>
      <c r="D39" s="240"/>
      <c r="E39" s="240"/>
      <c r="F39" s="240"/>
      <c r="G39" s="240"/>
      <c r="H39" s="240"/>
      <c r="I39" s="24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>
      <c r="A42" s="240"/>
      <c r="B42" s="240"/>
      <c r="C42" s="240"/>
      <c r="D42" s="240"/>
      <c r="E42" s="240"/>
      <c r="F42" s="240"/>
      <c r="G42" s="240"/>
      <c r="H42" s="240"/>
      <c r="I42" s="240"/>
    </row>
    <row r="43" spans="1:9">
      <c r="A43" s="240"/>
      <c r="B43" s="240"/>
      <c r="C43" s="240"/>
      <c r="D43" s="240"/>
      <c r="E43" s="240"/>
      <c r="F43" s="240"/>
      <c r="G43" s="240"/>
      <c r="H43" s="362" t="s">
        <v>125</v>
      </c>
      <c r="I43" s="240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I9" sqref="I9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82" t="str">
        <f>IF(B5="見積金額内訳書","",IF(B5="最終見積金額内訳書","",Q6))</f>
        <v/>
      </c>
      <c r="B1" s="482"/>
      <c r="C1" s="482"/>
      <c r="F1" s="70"/>
      <c r="H1" s="21"/>
      <c r="I1" s="21"/>
      <c r="J1" s="21"/>
      <c r="K1" s="21"/>
      <c r="L1" s="21"/>
    </row>
    <row r="2" spans="1:17" ht="15" customHeight="1">
      <c r="A2" s="482"/>
      <c r="B2" s="482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7" t="s">
        <v>263</v>
      </c>
      <c r="C3" s="486"/>
      <c r="D3" s="486"/>
      <c r="E3" s="486"/>
      <c r="F3" s="486"/>
      <c r="G3" s="486"/>
      <c r="H3" s="21"/>
      <c r="I3" s="21"/>
      <c r="J3" s="21"/>
      <c r="K3" s="21"/>
      <c r="L3" s="21"/>
      <c r="M3" s="21"/>
    </row>
    <row r="4" spans="1:17" ht="15" customHeight="1">
      <c r="A4" s="21"/>
      <c r="B4" s="484"/>
      <c r="C4" s="485"/>
      <c r="D4" s="485"/>
      <c r="E4" s="485"/>
      <c r="F4" s="485"/>
      <c r="G4" s="485"/>
      <c r="H4" s="33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86" t="s">
        <v>112</v>
      </c>
      <c r="C5" s="486"/>
      <c r="D5" s="486"/>
      <c r="E5" s="486"/>
      <c r="F5" s="486"/>
      <c r="G5" s="486"/>
      <c r="H5" s="33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1"/>
      <c r="D6" s="71"/>
      <c r="E6" s="71"/>
      <c r="F6" s="71"/>
      <c r="G6" s="71"/>
      <c r="H6" s="71"/>
      <c r="I6" s="72"/>
      <c r="J6" s="72"/>
      <c r="K6" s="72"/>
      <c r="L6" s="72"/>
      <c r="M6" s="72"/>
      <c r="N6" s="72"/>
      <c r="O6" s="20" t="s">
        <v>128</v>
      </c>
      <c r="P6" s="72"/>
      <c r="Q6" s="72" t="s">
        <v>116</v>
      </c>
    </row>
    <row r="7" spans="1:17" ht="15" customHeight="1">
      <c r="A7" s="21"/>
      <c r="B7" s="73" t="s">
        <v>51</v>
      </c>
      <c r="C7" s="73"/>
      <c r="D7" s="73"/>
      <c r="E7" s="74" t="s">
        <v>188</v>
      </c>
      <c r="F7" s="74"/>
      <c r="G7" s="74"/>
      <c r="H7" s="71"/>
      <c r="I7" s="72"/>
      <c r="J7" s="72"/>
      <c r="K7" s="72"/>
      <c r="L7" s="72"/>
      <c r="M7" s="72"/>
      <c r="N7" s="72"/>
      <c r="O7" s="72"/>
      <c r="P7" s="72"/>
      <c r="Q7" s="162" t="s">
        <v>129</v>
      </c>
    </row>
    <row r="8" spans="1:17" ht="15" customHeight="1">
      <c r="A8" s="21"/>
      <c r="B8" s="73" t="s">
        <v>52</v>
      </c>
      <c r="C8" s="73"/>
      <c r="D8" s="73"/>
      <c r="E8" s="75" t="s">
        <v>205</v>
      </c>
      <c r="F8" s="75"/>
      <c r="G8" s="75"/>
      <c r="H8" s="71"/>
      <c r="I8" s="72"/>
      <c r="J8" s="72"/>
      <c r="K8" s="72"/>
      <c r="L8" s="72"/>
      <c r="M8" s="72"/>
      <c r="N8" s="72"/>
      <c r="O8" s="72"/>
      <c r="P8" s="72"/>
      <c r="Q8" s="72"/>
    </row>
    <row r="9" spans="1:17" ht="15" customHeight="1">
      <c r="A9" s="21"/>
      <c r="B9" s="7"/>
      <c r="C9" s="71"/>
      <c r="D9" s="76"/>
      <c r="E9" s="77"/>
      <c r="F9" s="77"/>
      <c r="G9" s="77"/>
      <c r="H9" s="71"/>
      <c r="I9" s="72"/>
      <c r="J9" s="72"/>
      <c r="K9" s="72"/>
      <c r="L9" s="72"/>
      <c r="M9" s="72"/>
      <c r="N9" s="72"/>
      <c r="O9" s="72"/>
      <c r="P9" s="72"/>
      <c r="Q9" s="72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2"/>
      <c r="J10" s="72"/>
      <c r="K10" s="72"/>
      <c r="L10" s="72"/>
      <c r="M10" s="72"/>
      <c r="N10" s="72"/>
      <c r="O10" s="244" t="s">
        <v>178</v>
      </c>
      <c r="P10" s="72"/>
      <c r="Q10" s="72"/>
    </row>
    <row r="11" spans="1:17" ht="15" customHeight="1" thickBot="1">
      <c r="A11" s="21"/>
      <c r="B11" s="33" t="str">
        <f>IF(B5="見積金額内訳書",Q4,IF(B5="契約金額内訳書",Q5,Q7))</f>
        <v>見積金額</v>
      </c>
      <c r="C11" s="21"/>
      <c r="D11" s="24"/>
      <c r="E11" s="34">
        <f>G31</f>
        <v>28999080</v>
      </c>
      <c r="F11" s="35" t="s">
        <v>1</v>
      </c>
      <c r="G11" s="21"/>
      <c r="H11" s="21"/>
      <c r="I11" s="72"/>
      <c r="J11" s="72"/>
      <c r="K11" s="72"/>
      <c r="L11" s="72"/>
      <c r="M11" s="72"/>
      <c r="N11" s="72"/>
      <c r="O11" s="243" t="s">
        <v>191</v>
      </c>
      <c r="P11" s="72"/>
      <c r="Q11" s="72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2"/>
      <c r="J12" s="72"/>
      <c r="K12" s="72"/>
      <c r="L12" s="72"/>
      <c r="M12" s="72"/>
      <c r="N12" s="72"/>
      <c r="O12" s="243" t="s">
        <v>192</v>
      </c>
      <c r="P12" s="72"/>
      <c r="Q12" s="72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2"/>
      <c r="J13" s="72"/>
      <c r="K13" s="72"/>
      <c r="L13" s="72"/>
      <c r="M13" s="72"/>
      <c r="N13" s="72"/>
      <c r="O13" s="243" t="s">
        <v>193</v>
      </c>
      <c r="P13" s="72"/>
      <c r="Q13" s="72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2"/>
      <c r="J14" s="72"/>
      <c r="K14" s="72"/>
      <c r="L14" s="72"/>
      <c r="M14" s="72"/>
      <c r="N14" s="72"/>
      <c r="O14" s="243" t="s">
        <v>383</v>
      </c>
      <c r="P14" s="72"/>
      <c r="Q14" s="72"/>
    </row>
    <row r="15" spans="1:17" ht="30" customHeight="1" thickBot="1">
      <c r="A15" s="21"/>
      <c r="B15" s="25" t="s">
        <v>54</v>
      </c>
      <c r="C15" s="483" t="s">
        <v>68</v>
      </c>
      <c r="D15" s="483"/>
      <c r="E15" s="483"/>
      <c r="F15" s="260"/>
      <c r="G15" s="27">
        <f>G16+G17+G18</f>
        <v>15614000</v>
      </c>
      <c r="H15" s="27" t="s">
        <v>1</v>
      </c>
      <c r="O15" s="243" t="s">
        <v>361</v>
      </c>
    </row>
    <row r="16" spans="1:17" ht="21" customHeight="1" thickTop="1">
      <c r="A16" s="21"/>
      <c r="B16" s="21"/>
      <c r="C16" s="28" t="s">
        <v>2</v>
      </c>
      <c r="D16" s="480" t="s">
        <v>7</v>
      </c>
      <c r="E16" s="480"/>
      <c r="F16" s="263"/>
      <c r="G16" s="460">
        <f>'様式2_1人件費  2_2その他原価・一般管理費等'!$E$8</f>
        <v>6229000</v>
      </c>
      <c r="H16" s="460" t="s">
        <v>1</v>
      </c>
      <c r="O16" s="243" t="s">
        <v>263</v>
      </c>
    </row>
    <row r="17" spans="1:17" ht="21" customHeight="1">
      <c r="A17" s="21"/>
      <c r="B17" s="21"/>
      <c r="C17" s="28" t="s">
        <v>4</v>
      </c>
      <c r="D17" s="480" t="s">
        <v>64</v>
      </c>
      <c r="E17" s="480"/>
      <c r="F17" s="263"/>
      <c r="G17" s="461">
        <f>'様式2_1人件費  2_2その他原価・一般管理費等'!$M$6</f>
        <v>5801000</v>
      </c>
      <c r="H17" s="461" t="s">
        <v>1</v>
      </c>
    </row>
    <row r="18" spans="1:17" ht="21" customHeight="1">
      <c r="A18" s="21"/>
      <c r="B18" s="31"/>
      <c r="C18" s="28" t="s">
        <v>8</v>
      </c>
      <c r="D18" s="479" t="s">
        <v>9</v>
      </c>
      <c r="E18" s="479"/>
      <c r="F18" s="262"/>
      <c r="G18" s="461">
        <f>'様式2_1人件費  2_2その他原価・一般管理費等'!$M$8</f>
        <v>3584000</v>
      </c>
      <c r="H18" s="461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10257000</v>
      </c>
      <c r="H19" s="27" t="s">
        <v>1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460">
        <f>様式2_3機材!$E$5</f>
        <v>2650000</v>
      </c>
      <c r="H20" s="460" t="s">
        <v>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21" customHeight="1">
      <c r="A21" s="21"/>
      <c r="B21" s="30"/>
      <c r="C21" s="28" t="s">
        <v>5</v>
      </c>
      <c r="D21" s="30" t="s">
        <v>345</v>
      </c>
      <c r="E21" s="30"/>
      <c r="F21" s="30"/>
      <c r="G21" s="461">
        <f>G22+G23</f>
        <v>5213000</v>
      </c>
      <c r="H21" s="461" t="s">
        <v>1</v>
      </c>
    </row>
    <row r="22" spans="1:17" ht="21" customHeight="1">
      <c r="A22" s="21"/>
      <c r="B22" s="30"/>
      <c r="C22" s="28"/>
      <c r="D22" s="30"/>
      <c r="E22" s="30" t="s">
        <v>343</v>
      </c>
      <c r="F22" s="30"/>
      <c r="G22" s="461">
        <f>様式2_4旅費!$F$4</f>
        <v>1997000</v>
      </c>
      <c r="H22" s="461" t="s">
        <v>1</v>
      </c>
      <c r="I22" s="458"/>
    </row>
    <row r="23" spans="1:17" ht="21" customHeight="1">
      <c r="A23" s="21"/>
      <c r="B23" s="30"/>
      <c r="C23" s="28"/>
      <c r="D23" s="30"/>
      <c r="E23" s="30" t="s">
        <v>344</v>
      </c>
      <c r="F23" s="30"/>
      <c r="G23" s="461">
        <f>様式2_4旅費!$F$6</f>
        <v>3216000</v>
      </c>
      <c r="H23" s="461" t="s">
        <v>1</v>
      </c>
    </row>
    <row r="24" spans="1:17" ht="21" customHeight="1">
      <c r="A24" s="21"/>
      <c r="B24" s="30"/>
      <c r="C24" s="245" t="s">
        <v>49</v>
      </c>
      <c r="D24" s="29" t="s">
        <v>69</v>
      </c>
      <c r="E24" s="30"/>
      <c r="F24" s="30"/>
      <c r="G24" s="461">
        <f>様式2_5現地活動費!$E$3</f>
        <v>1406000</v>
      </c>
      <c r="H24" s="461" t="s">
        <v>1</v>
      </c>
    </row>
    <row r="25" spans="1:17" ht="21" customHeight="1">
      <c r="A25" s="21"/>
      <c r="B25" s="30"/>
      <c r="C25" s="245" t="s">
        <v>362</v>
      </c>
      <c r="D25" s="20" t="s">
        <v>159</v>
      </c>
      <c r="F25" s="30"/>
      <c r="G25" s="461">
        <f>'様式2_6本邦受入活動費&amp;管理費'!$E$4</f>
        <v>988000</v>
      </c>
      <c r="H25" s="461" t="s">
        <v>1</v>
      </c>
    </row>
    <row r="26" spans="1:17" ht="21" customHeight="1">
      <c r="A26" s="21"/>
      <c r="B26" s="30"/>
      <c r="C26" s="246"/>
      <c r="F26" s="30"/>
      <c r="G26" s="462"/>
      <c r="H26" s="462"/>
    </row>
    <row r="27" spans="1:17" ht="21" customHeight="1">
      <c r="A27" s="21"/>
      <c r="B27" s="31"/>
      <c r="C27" s="31"/>
      <c r="D27" s="29"/>
      <c r="E27" s="21"/>
      <c r="F27" s="21"/>
      <c r="G27" s="463"/>
      <c r="H27" s="463"/>
    </row>
    <row r="28" spans="1:17" ht="21" customHeight="1" thickBot="1">
      <c r="A28" s="21"/>
      <c r="B28" s="464" t="s">
        <v>58</v>
      </c>
      <c r="C28" s="483" t="s">
        <v>6</v>
      </c>
      <c r="D28" s="483"/>
      <c r="E28" s="483"/>
      <c r="F28" s="262"/>
      <c r="G28" s="27">
        <f>'様式2_6本邦受入活動費&amp;管理費'!E23</f>
        <v>980000</v>
      </c>
      <c r="H28" s="27" t="s">
        <v>1</v>
      </c>
    </row>
    <row r="29" spans="1:17" ht="30" customHeight="1" thickTop="1" thickBot="1">
      <c r="A29" s="21"/>
      <c r="B29" s="25" t="s">
        <v>0</v>
      </c>
      <c r="C29" s="481" t="s">
        <v>10</v>
      </c>
      <c r="D29" s="481"/>
      <c r="E29" s="481"/>
      <c r="F29" s="261"/>
      <c r="G29" s="32">
        <f>G15+G19+G28</f>
        <v>26851000</v>
      </c>
      <c r="H29" s="32" t="s">
        <v>1</v>
      </c>
    </row>
    <row r="30" spans="1:17" ht="30" customHeight="1" thickTop="1" thickBot="1">
      <c r="A30" s="21"/>
      <c r="B30" s="25" t="s">
        <v>45</v>
      </c>
      <c r="C30" s="481" t="s">
        <v>56</v>
      </c>
      <c r="D30" s="481"/>
      <c r="E30" s="481"/>
      <c r="F30" s="18"/>
      <c r="G30" s="32">
        <f>G29*0.08</f>
        <v>2148080</v>
      </c>
      <c r="H30" s="32" t="s">
        <v>1</v>
      </c>
    </row>
    <row r="31" spans="1:17" ht="24" customHeight="1" thickTop="1" thickBot="1">
      <c r="A31" s="21"/>
      <c r="B31" s="25" t="s">
        <v>50</v>
      </c>
      <c r="C31" s="481" t="s">
        <v>239</v>
      </c>
      <c r="D31" s="481"/>
      <c r="E31" s="481"/>
      <c r="F31" s="481"/>
      <c r="G31" s="32">
        <f>G29+G30</f>
        <v>28999080</v>
      </c>
      <c r="H31" s="32" t="s">
        <v>1</v>
      </c>
    </row>
    <row r="32" spans="1:17" ht="51" customHeight="1" thickTop="1">
      <c r="A32" s="21"/>
      <c r="B32" s="477"/>
      <c r="C32" s="477"/>
      <c r="D32" s="477"/>
      <c r="E32" s="478"/>
      <c r="F32" s="478"/>
      <c r="G32" s="478"/>
      <c r="H32" s="478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A1:C1"/>
    <mergeCell ref="C28:E28"/>
    <mergeCell ref="A2:B2"/>
    <mergeCell ref="C30:E30"/>
    <mergeCell ref="C29:E29"/>
    <mergeCell ref="C15:E15"/>
    <mergeCell ref="B4:G4"/>
    <mergeCell ref="B5:G5"/>
    <mergeCell ref="B3:G3"/>
    <mergeCell ref="B32:H32"/>
    <mergeCell ref="D18:E18"/>
    <mergeCell ref="D17:E17"/>
    <mergeCell ref="D16:E16"/>
    <mergeCell ref="C31:F31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topLeftCell="A7" zoomScale="85" zoomScaleNormal="75" zoomScaleSheetLayoutView="85" workbookViewId="0">
      <selection activeCell="K47" sqref="K47"/>
    </sheetView>
  </sheetViews>
  <sheetFormatPr defaultRowHeight="14.25"/>
  <cols>
    <col min="1" max="1" width="4.75" style="78" customWidth="1"/>
    <col min="2" max="2" width="15.25" style="78" customWidth="1"/>
    <col min="3" max="3" width="16.5" style="78" customWidth="1"/>
    <col min="4" max="4" width="7.5" style="389" customWidth="1"/>
    <col min="5" max="5" width="12.75" style="78" customWidth="1"/>
    <col min="6" max="6" width="10.625" style="78" customWidth="1"/>
    <col min="7" max="7" width="12" style="78" customWidth="1"/>
    <col min="8" max="8" width="11.625" style="78" customWidth="1"/>
    <col min="9" max="9" width="6.625" style="78" customWidth="1"/>
    <col min="10" max="10" width="6.875" style="78" customWidth="1"/>
    <col min="11" max="11" width="6.5" style="389" customWidth="1"/>
    <col min="12" max="13" width="16.375" style="78" customWidth="1"/>
    <col min="14" max="14" width="7.5" style="78" customWidth="1"/>
    <col min="15" max="15" width="16.625" style="78" customWidth="1"/>
    <col min="16" max="16" width="7.5" style="78" customWidth="1"/>
    <col min="17" max="17" width="16.625" style="78" customWidth="1"/>
    <col min="18" max="16384" width="9" style="78"/>
  </cols>
  <sheetData>
    <row r="2" spans="1:19" ht="24.75" customHeight="1">
      <c r="B2" s="488" t="str">
        <f>IF(様式1!B5="見積金額内訳書",'様式2_1人件費  2_2その他原価・一般管理費等'!S2,IF(様式1!B5="最終見積金額内訳書",'様式2_1人件費  2_2その他原価・一般管理費等'!S4,'様式2_1人件費  2_2その他原価・一般管理費等'!S3))</f>
        <v>見積金額内訳明細</v>
      </c>
      <c r="C2" s="488"/>
      <c r="D2" s="488"/>
      <c r="E2" s="488"/>
      <c r="F2" s="488"/>
      <c r="G2" s="488"/>
      <c r="H2" s="488"/>
      <c r="I2" s="488"/>
      <c r="J2" s="388"/>
      <c r="S2" s="78" t="s">
        <v>92</v>
      </c>
    </row>
    <row r="3" spans="1:19">
      <c r="A3" s="266"/>
      <c r="B3" s="268"/>
      <c r="C3" s="268"/>
      <c r="E3" s="268"/>
      <c r="F3" s="268"/>
      <c r="G3" s="268"/>
      <c r="H3" s="268"/>
      <c r="I3" s="389"/>
      <c r="J3" s="389"/>
      <c r="S3" s="78" t="s">
        <v>126</v>
      </c>
    </row>
    <row r="4" spans="1:19">
      <c r="A4" s="444" t="s">
        <v>360</v>
      </c>
      <c r="B4" s="444"/>
      <c r="C4" s="444"/>
      <c r="D4" s="445"/>
      <c r="E4" s="445"/>
      <c r="K4" s="444" t="s">
        <v>360</v>
      </c>
      <c r="L4" s="444"/>
      <c r="M4" s="444"/>
      <c r="N4" s="445"/>
      <c r="O4" s="445"/>
      <c r="S4" s="78" t="s">
        <v>127</v>
      </c>
    </row>
    <row r="5" spans="1:19" ht="15" thickBot="1">
      <c r="B5" s="79"/>
      <c r="C5" s="79"/>
      <c r="D5" s="430"/>
      <c r="E5" s="19"/>
    </row>
    <row r="6" spans="1:19" ht="20.100000000000001" customHeight="1" thickBot="1">
      <c r="D6" s="267"/>
      <c r="E6" s="492">
        <f>M28+O28+Q28</f>
        <v>15614000</v>
      </c>
      <c r="F6" s="493"/>
      <c r="G6" s="78" t="s">
        <v>1</v>
      </c>
      <c r="K6" s="78" t="s">
        <v>70</v>
      </c>
      <c r="M6" s="407">
        <f>O28</f>
        <v>5801000</v>
      </c>
      <c r="N6" s="78" t="s">
        <v>1</v>
      </c>
    </row>
    <row r="7" spans="1:19" ht="20.100000000000001" customHeight="1">
      <c r="B7" s="80"/>
      <c r="C7" s="80"/>
      <c r="D7" s="267"/>
      <c r="L7" s="95"/>
      <c r="M7" s="437"/>
      <c r="N7" s="438"/>
    </row>
    <row r="8" spans="1:19" ht="20.100000000000001" customHeight="1" thickBot="1">
      <c r="A8" s="78" t="s">
        <v>33</v>
      </c>
      <c r="E8" s="490">
        <f>G84</f>
        <v>6229000</v>
      </c>
      <c r="F8" s="491"/>
      <c r="G8" s="78" t="s">
        <v>1</v>
      </c>
      <c r="K8" s="78" t="s">
        <v>40</v>
      </c>
      <c r="M8" s="407">
        <f>Q28</f>
        <v>3584000</v>
      </c>
      <c r="N8" s="78" t="s">
        <v>1</v>
      </c>
      <c r="O8" s="95"/>
    </row>
    <row r="9" spans="1:19" ht="20.100000000000001" customHeight="1" thickTop="1">
      <c r="E9" s="264"/>
      <c r="F9" s="265"/>
      <c r="K9" s="78"/>
      <c r="M9" s="443"/>
    </row>
    <row r="10" spans="1:19" ht="21" customHeight="1">
      <c r="B10" s="78" t="s">
        <v>225</v>
      </c>
      <c r="L10" s="97"/>
      <c r="M10" s="439" t="s">
        <v>355</v>
      </c>
      <c r="N10" s="494" t="s">
        <v>64</v>
      </c>
      <c r="O10" s="494"/>
      <c r="P10" s="494" t="s">
        <v>9</v>
      </c>
      <c r="Q10" s="494"/>
    </row>
    <row r="11" spans="1:19" ht="57">
      <c r="A11" s="115" t="s">
        <v>83</v>
      </c>
      <c r="B11" s="271" t="s">
        <v>81</v>
      </c>
      <c r="C11" s="81" t="s">
        <v>82</v>
      </c>
      <c r="D11" s="81" t="s">
        <v>34</v>
      </c>
      <c r="E11" s="81" t="s">
        <v>35</v>
      </c>
      <c r="F11" s="81" t="s">
        <v>36</v>
      </c>
      <c r="G11" s="81" t="s">
        <v>37</v>
      </c>
      <c r="H11" s="271" t="s">
        <v>38</v>
      </c>
      <c r="I11" s="81" t="s">
        <v>48</v>
      </c>
      <c r="J11" s="399"/>
      <c r="K11" s="81" t="s">
        <v>38</v>
      </c>
      <c r="L11" s="81" t="s">
        <v>154</v>
      </c>
      <c r="M11" s="81" t="s">
        <v>356</v>
      </c>
      <c r="N11" s="81" t="s">
        <v>357</v>
      </c>
      <c r="O11" s="81" t="s">
        <v>266</v>
      </c>
      <c r="P11" s="81" t="s">
        <v>357</v>
      </c>
      <c r="Q11" s="81" t="s">
        <v>265</v>
      </c>
    </row>
    <row r="12" spans="1:19" ht="42.75">
      <c r="A12" s="409">
        <v>4</v>
      </c>
      <c r="B12" s="309" t="str">
        <f>IF($A12="","",VLOOKUP($A12,従事者明細!$A$3:$L$52,2,FALSE))</f>
        <v>◯際　Ｅ郎
（東京）</v>
      </c>
      <c r="C12" s="309" t="str">
        <f>IF($A12="","",VLOOKUP($A12,従事者明細!$A$3:$L$52,3,FALSE))</f>
        <v>チーフアドバイザー/開発課題2/市場調査</v>
      </c>
      <c r="D12" s="133">
        <f>IF($A12="","",VLOOKUP($A12,従事者明細!$A$3:$L$52,6,FALSE))</f>
        <v>2</v>
      </c>
      <c r="E12" s="309">
        <f>IF($A12="","",VLOOKUP($A12,従事者明細!$A$3:$L$52,10,FALSE))</f>
        <v>1024000</v>
      </c>
      <c r="F12" s="310">
        <f>IF(I12="","",ROUND(I12/30,2))</f>
        <v>1</v>
      </c>
      <c r="G12" s="311">
        <f>IF(D12="","",E12*ROUND(F12,2))</f>
        <v>1024000</v>
      </c>
      <c r="H12" s="312" t="str">
        <f>IF($A12="","",VLOOKUP($A12,従事者明細!$A$3:$F$52,4,FALSE))</f>
        <v>A-1</v>
      </c>
      <c r="I12" s="82">
        <v>30</v>
      </c>
      <c r="J12" s="97"/>
      <c r="K12" s="408" t="s">
        <v>284</v>
      </c>
      <c r="L12" s="167" t="str">
        <f>IF($K12="","",VLOOKUP($K12,従事者明細!$D$3:$L$52,2,FALSE))</f>
        <v>㈱FF◯コンサルタント</v>
      </c>
      <c r="M12" s="167">
        <f t="shared" ref="M12:M26" si="0">IF($K12="","",VLOOKUP($K12,$F$65:$H$79,3,FALSE))</f>
        <v>2923040</v>
      </c>
      <c r="N12" s="390">
        <v>1.2</v>
      </c>
      <c r="O12" s="391">
        <f>IF($K12="","",ROUND(M12*N12,0))</f>
        <v>3507648</v>
      </c>
      <c r="P12" s="390">
        <v>0.4</v>
      </c>
      <c r="Q12" s="391">
        <f>IF($K12="","",ROUND((M12+O12)*P12,0))</f>
        <v>2572275</v>
      </c>
    </row>
    <row r="13" spans="1:19" ht="30" customHeight="1">
      <c r="A13" s="409">
        <v>5</v>
      </c>
      <c r="B13" s="309" t="str">
        <f>IF($A13="","",VLOOKUP($A13,従事者明細!$A$3:$L$52,2,FALSE))</f>
        <v>◯△　太郎
（東京）</v>
      </c>
      <c r="C13" s="309" t="str">
        <f>IF($A13="","",VLOOKUP($A13,従事者明細!$A$3:$L$52,3,FALSE))</f>
        <v>パートナー連携</v>
      </c>
      <c r="D13" s="133">
        <f>IF($A13="","",VLOOKUP($A13,従事者明細!$A$3:$L$52,6,FALSE))</f>
        <v>4</v>
      </c>
      <c r="E13" s="309">
        <f>IF($A13="","",VLOOKUP($A13,従事者明細!$A$3:$L$52,10,FALSE))</f>
        <v>744000</v>
      </c>
      <c r="F13" s="310">
        <f t="shared" ref="F13" si="1">IF(I13="","",ROUND(I13/30,2))</f>
        <v>1</v>
      </c>
      <c r="G13" s="311">
        <f t="shared" ref="G13" si="2">IF(D13="","",E13*ROUND(F13,2))</f>
        <v>744000</v>
      </c>
      <c r="H13" s="312" t="str">
        <f>IF($A13="","",VLOOKUP($A13,従事者明細!$A$3:$F$52,4,FALSE))</f>
        <v>A-1</v>
      </c>
      <c r="I13" s="82">
        <v>30</v>
      </c>
      <c r="J13" s="97"/>
      <c r="K13" s="408" t="s">
        <v>285</v>
      </c>
      <c r="L13" s="167" t="str">
        <f>IF($K13="","",VLOOKUP($K13,従事者明細!$D$3:$L$52,2,FALSE))</f>
        <v>DD◯コンサル㈱</v>
      </c>
      <c r="M13" s="167">
        <f t="shared" si="0"/>
        <v>1098000</v>
      </c>
      <c r="N13" s="390">
        <v>0.75</v>
      </c>
      <c r="O13" s="391">
        <f t="shared" ref="O13:O26" si="3">IF($K13="","",ROUND(M13*N13,0))</f>
        <v>823500</v>
      </c>
      <c r="P13" s="390">
        <v>0.4</v>
      </c>
      <c r="Q13" s="391">
        <f t="shared" ref="Q13:Q26" si="4">IF($K13="","",ROUND((M13+O13)*P13,0))</f>
        <v>768600</v>
      </c>
    </row>
    <row r="14" spans="1:19" ht="30" customHeight="1">
      <c r="A14" s="409">
        <v>6</v>
      </c>
      <c r="B14" s="309" t="str">
        <f>IF($A14="","",VLOOKUP($A14,従事者明細!$A$3:$L$52,2,FALSE))</f>
        <v>阿部　△△
（千葉）</v>
      </c>
      <c r="C14" s="309" t="str">
        <f>IF($A14="","",VLOOKUP($A14,従事者明細!$A$3:$L$52,3,FALSE))</f>
        <v>海外市場調査</v>
      </c>
      <c r="D14" s="133">
        <f>IF($A14="","",VLOOKUP($A14,従事者明細!$A$3:$L$52,6,FALSE))</f>
        <v>6</v>
      </c>
      <c r="E14" s="309">
        <f>IF($A14="","",VLOOKUP($A14,従事者明細!$A$3:$L$52,10,FALSE))</f>
        <v>508000</v>
      </c>
      <c r="F14" s="310">
        <f t="shared" ref="F14:F26" si="5">IF(I14="","",ROUND(I14/30,2))</f>
        <v>0.33</v>
      </c>
      <c r="G14" s="311">
        <f t="shared" ref="G14:G26" si="6">IF(D14="","",E14*ROUND(F14,2))</f>
        <v>167640</v>
      </c>
      <c r="H14" s="312" t="str">
        <f>IF($A14="","",VLOOKUP($A14,従事者明細!$A$3:$F$52,4,FALSE))</f>
        <v>A-1</v>
      </c>
      <c r="I14" s="82">
        <v>10</v>
      </c>
      <c r="J14" s="97"/>
      <c r="K14" s="408" t="s">
        <v>286</v>
      </c>
      <c r="L14" s="167" t="str">
        <f>IF($K14="","",VLOOKUP($K14,従事者明細!$D$3:$L$52,2,FALSE))</f>
        <v>GG◯科学㈱</v>
      </c>
      <c r="M14" s="167">
        <f t="shared" si="0"/>
        <v>348000</v>
      </c>
      <c r="N14" s="390">
        <v>0.75</v>
      </c>
      <c r="O14" s="391">
        <f t="shared" si="3"/>
        <v>261000</v>
      </c>
      <c r="P14" s="390">
        <v>0.4</v>
      </c>
      <c r="Q14" s="391">
        <f t="shared" si="4"/>
        <v>243600</v>
      </c>
    </row>
    <row r="15" spans="1:19" ht="30" customHeight="1">
      <c r="A15" s="409">
        <v>7</v>
      </c>
      <c r="B15" s="309" t="str">
        <f>IF($A15="","",VLOOKUP($A15,従事者明細!$A$3:$L$52,2,FALSE))</f>
        <v>鈴◯　花子
（ハノイ）</v>
      </c>
      <c r="C15" s="309" t="str">
        <f>IF($A15="","",VLOOKUP($A15,従事者明細!$A$3:$L$52,3,FALSE))</f>
        <v>環境社会配慮調査</v>
      </c>
      <c r="D15" s="133">
        <f>IF($A15="","",VLOOKUP($A15,従事者明細!$A$3:$L$52,6,FALSE))</f>
        <v>5</v>
      </c>
      <c r="E15" s="309">
        <f>IF($A15="","",VLOOKUP($A15,従事者明細!$A$3:$L$52,10,FALSE))</f>
        <v>600000</v>
      </c>
      <c r="F15" s="310">
        <f t="shared" si="5"/>
        <v>0.33</v>
      </c>
      <c r="G15" s="311">
        <f t="shared" si="6"/>
        <v>198000</v>
      </c>
      <c r="H15" s="312" t="str">
        <f>IF($A15="","",VLOOKUP($A15,従事者明細!$A$3:$F$52,4,FALSE))</f>
        <v>B-1</v>
      </c>
      <c r="I15" s="82">
        <v>10</v>
      </c>
      <c r="J15" s="97"/>
      <c r="K15" s="408" t="s">
        <v>288</v>
      </c>
      <c r="L15" s="167" t="str">
        <f>IF($K15="","",VLOOKUP($K15,従事者明細!$D$3:$L$52,2,FALSE))</f>
        <v>無（個人）</v>
      </c>
      <c r="M15" s="167">
        <f t="shared" si="0"/>
        <v>1228500</v>
      </c>
      <c r="N15" s="390">
        <v>0.65</v>
      </c>
      <c r="O15" s="391">
        <f t="shared" si="3"/>
        <v>798525</v>
      </c>
      <c r="P15" s="390">
        <v>0</v>
      </c>
      <c r="Q15" s="391">
        <f t="shared" si="4"/>
        <v>0</v>
      </c>
    </row>
    <row r="16" spans="1:19" ht="30" customHeight="1">
      <c r="A16" s="409">
        <v>8</v>
      </c>
      <c r="B16" s="309" t="str">
        <f>IF($A16="","",VLOOKUP($A16,従事者明細!$A$3:$L$52,2,FALSE))</f>
        <v>△●　次郎
（長野）</v>
      </c>
      <c r="C16" s="309" t="str">
        <f>IF($A16="","",VLOOKUP($A16,従事者明細!$A$3:$L$52,3,FALSE))</f>
        <v>運営計画/開発効果</v>
      </c>
      <c r="D16" s="133">
        <f>IF($A16="","",VLOOKUP($A16,従事者明細!$A$3:$L$52,6,FALSE))</f>
        <v>5</v>
      </c>
      <c r="E16" s="309">
        <f>IF($A16="","",VLOOKUP($A16,従事者明細!$A$3:$L$52,10,FALSE))</f>
        <v>600000</v>
      </c>
      <c r="F16" s="310">
        <f t="shared" si="5"/>
        <v>0.33</v>
      </c>
      <c r="G16" s="311">
        <f t="shared" si="6"/>
        <v>198000</v>
      </c>
      <c r="H16" s="312" t="str">
        <f>IF($A16="","",VLOOKUP($A16,従事者明細!$A$3:$F$52,4,FALSE))</f>
        <v>B-2</v>
      </c>
      <c r="I16" s="82">
        <v>10</v>
      </c>
      <c r="J16" s="97"/>
      <c r="K16" s="408" t="s">
        <v>348</v>
      </c>
      <c r="L16" s="167" t="str">
        <f>IF($K16="","",VLOOKUP($K16,従事者明細!$D$3:$L$52,2,FALSE))</f>
        <v>無（個人）</v>
      </c>
      <c r="M16" s="167">
        <f t="shared" si="0"/>
        <v>632400</v>
      </c>
      <c r="N16" s="390">
        <v>0.65</v>
      </c>
      <c r="O16" s="391">
        <f t="shared" si="3"/>
        <v>411060</v>
      </c>
      <c r="P16" s="390">
        <v>0</v>
      </c>
      <c r="Q16" s="391">
        <f t="shared" si="4"/>
        <v>0</v>
      </c>
    </row>
    <row r="17" spans="1:17" ht="30" customHeight="1">
      <c r="A17" s="409">
        <v>9</v>
      </c>
      <c r="B17" s="309" t="str">
        <f>IF($A17="","",VLOOKUP($A17,従事者明細!$A$3:$L$52,2,FALSE))</f>
        <v>国際　太◯
（埼玉）</v>
      </c>
      <c r="C17" s="309" t="str">
        <f>IF($A17="","",VLOOKUP($A17,従事者明細!$A$3:$L$52,3,FALSE))</f>
        <v>法制度調査</v>
      </c>
      <c r="D17" s="133">
        <f>IF($A17="","",VLOOKUP($A17,従事者明細!$A$3:$L$52,6,FALSE))</f>
        <v>3</v>
      </c>
      <c r="E17" s="309">
        <f>IF($A17="","",VLOOKUP($A17,従事者明細!$A$3:$L$52,10,FALSE))</f>
        <v>910000</v>
      </c>
      <c r="F17" s="310">
        <f t="shared" si="5"/>
        <v>1.1000000000000001</v>
      </c>
      <c r="G17" s="311">
        <f t="shared" si="6"/>
        <v>1001000.0000000001</v>
      </c>
      <c r="H17" s="312" t="str">
        <f>IF($A17="","",VLOOKUP($A17,従事者明細!$A$3:$F$52,4,FALSE))</f>
        <v>C-1</v>
      </c>
      <c r="I17" s="82">
        <v>33</v>
      </c>
      <c r="J17" s="97"/>
      <c r="K17" s="408"/>
      <c r="L17" s="167" t="str">
        <f>IF($K17="","",VLOOKUP($K17,従事者明細!$D$3:$L$52,2,FALSE))</f>
        <v/>
      </c>
      <c r="M17" s="167" t="str">
        <f t="shared" si="0"/>
        <v/>
      </c>
      <c r="N17" s="390"/>
      <c r="O17" s="391" t="str">
        <f t="shared" si="3"/>
        <v/>
      </c>
      <c r="P17" s="390"/>
      <c r="Q17" s="391" t="str">
        <f t="shared" si="4"/>
        <v/>
      </c>
    </row>
    <row r="18" spans="1:17" ht="30" customHeight="1">
      <c r="A18" s="409">
        <v>10</v>
      </c>
      <c r="B18" s="309" t="str">
        <f>IF($A18="","",VLOOKUP($A18,従事者明細!$A$3:$L$52,2,FALSE))</f>
        <v>協力　○○
（京都）</v>
      </c>
      <c r="C18" s="309" t="str">
        <f>IF($A18="","",VLOOKUP($A18,従事者明細!$A$3:$L$52,3,FALSE))</f>
        <v>システム設計</v>
      </c>
      <c r="D18" s="133">
        <f>IF($A18="","",VLOOKUP($A18,従事者明細!$A$3:$L$52,6,FALSE))</f>
        <v>4</v>
      </c>
      <c r="E18" s="309">
        <f>IF($A18="","",VLOOKUP($A18,従事者明細!$A$3:$L$52,10,FALSE))</f>
        <v>744000</v>
      </c>
      <c r="F18" s="310">
        <f t="shared" si="5"/>
        <v>0.5</v>
      </c>
      <c r="G18" s="311">
        <f t="shared" si="6"/>
        <v>372000</v>
      </c>
      <c r="H18" s="312" t="str">
        <f>IF($A18="","",VLOOKUP($A18,従事者明細!$A$3:$F$52,4,FALSE))</f>
        <v>C-2</v>
      </c>
      <c r="I18" s="82">
        <v>15</v>
      </c>
      <c r="J18" s="97"/>
      <c r="K18" s="408"/>
      <c r="L18" s="167" t="str">
        <f>IF($K18="","",VLOOKUP($K18,従事者明細!$D$3:$L$52,2,FALSE))</f>
        <v/>
      </c>
      <c r="M18" s="167" t="str">
        <f t="shared" si="0"/>
        <v/>
      </c>
      <c r="N18" s="390"/>
      <c r="O18" s="391" t="str">
        <f t="shared" si="3"/>
        <v/>
      </c>
      <c r="P18" s="390"/>
      <c r="Q18" s="391" t="str">
        <f t="shared" si="4"/>
        <v/>
      </c>
    </row>
    <row r="19" spans="1:17" ht="30" customHeight="1">
      <c r="A19" s="409"/>
      <c r="B19" s="309" t="str">
        <f>IF($A19="","",VLOOKUP($A19,従事者明細!$A$3:$L$52,2,FALSE))</f>
        <v/>
      </c>
      <c r="C19" s="309" t="str">
        <f>IF($A19="","",VLOOKUP($A19,従事者明細!$A$3:$L$52,3,FALSE))</f>
        <v/>
      </c>
      <c r="D19" s="133" t="str">
        <f>IF($A19="","",VLOOKUP($A19,従事者明細!$A$3:$L$52,6,FALSE))</f>
        <v/>
      </c>
      <c r="E19" s="309" t="str">
        <f>IF($A19="","",VLOOKUP($A19,従事者明細!$A$3:$L$52,10,FALSE))</f>
        <v/>
      </c>
      <c r="F19" s="310" t="str">
        <f t="shared" si="5"/>
        <v/>
      </c>
      <c r="G19" s="311" t="str">
        <f t="shared" si="6"/>
        <v/>
      </c>
      <c r="H19" s="312" t="str">
        <f>IF($A19="","",VLOOKUP($A19,従事者明細!$A$3:$F$52,4,FALSE))</f>
        <v/>
      </c>
      <c r="I19" s="82"/>
      <c r="J19" s="97"/>
      <c r="K19" s="408"/>
      <c r="L19" s="167" t="str">
        <f>IF($K19="","",VLOOKUP($K19,従事者明細!$D$3:$L$52,2,FALSE))</f>
        <v/>
      </c>
      <c r="M19" s="167" t="str">
        <f t="shared" si="0"/>
        <v/>
      </c>
      <c r="N19" s="390"/>
      <c r="O19" s="391" t="str">
        <f t="shared" si="3"/>
        <v/>
      </c>
      <c r="P19" s="390"/>
      <c r="Q19" s="391" t="str">
        <f t="shared" si="4"/>
        <v/>
      </c>
    </row>
    <row r="20" spans="1:17" ht="30" hidden="1" customHeight="1">
      <c r="A20" s="409"/>
      <c r="B20" s="309" t="str">
        <f>IF($A20="","",VLOOKUP($A20,従事者明細!$A$3:$L$52,2,FALSE))</f>
        <v/>
      </c>
      <c r="C20" s="309" t="str">
        <f>IF($A20="","",VLOOKUP($A20,従事者明細!$A$3:$L$52,3,FALSE))</f>
        <v/>
      </c>
      <c r="D20" s="133" t="str">
        <f>IF($A20="","",VLOOKUP($A20,従事者明細!$A$3:$L$52,6,FALSE))</f>
        <v/>
      </c>
      <c r="E20" s="309" t="str">
        <f>IF($A20="","",VLOOKUP($A20,従事者明細!$A$3:$L$52,10,FALSE))</f>
        <v/>
      </c>
      <c r="F20" s="310" t="str">
        <f t="shared" si="5"/>
        <v/>
      </c>
      <c r="G20" s="311" t="str">
        <f t="shared" si="6"/>
        <v/>
      </c>
      <c r="H20" s="312" t="str">
        <f>IF($A20="","",VLOOKUP($A20,従事者明細!$A$3:$F$52,4,FALSE))</f>
        <v/>
      </c>
      <c r="I20" s="82"/>
      <c r="J20" s="97"/>
      <c r="K20" s="408"/>
      <c r="L20" s="167" t="str">
        <f>IF($K20="","",VLOOKUP($K20,従事者明細!$D$3:$L$52,2,FALSE))</f>
        <v/>
      </c>
      <c r="M20" s="167" t="str">
        <f t="shared" si="0"/>
        <v/>
      </c>
      <c r="N20" s="390"/>
      <c r="O20" s="391" t="str">
        <f t="shared" si="3"/>
        <v/>
      </c>
      <c r="P20" s="390"/>
      <c r="Q20" s="391" t="str">
        <f t="shared" si="4"/>
        <v/>
      </c>
    </row>
    <row r="21" spans="1:17" ht="30" hidden="1" customHeight="1">
      <c r="A21" s="409"/>
      <c r="B21" s="309" t="str">
        <f>IF($A21="","",VLOOKUP($A21,従事者明細!$A$3:$L$52,2,FALSE))</f>
        <v/>
      </c>
      <c r="C21" s="309" t="str">
        <f>IF($A21="","",VLOOKUP($A21,従事者明細!$A$3:$L$52,3,FALSE))</f>
        <v/>
      </c>
      <c r="D21" s="133" t="str">
        <f>IF($A21="","",VLOOKUP($A21,従事者明細!$A$3:$L$52,6,FALSE))</f>
        <v/>
      </c>
      <c r="E21" s="309" t="str">
        <f>IF($A21="","",VLOOKUP($A21,従事者明細!$A$3:$L$52,10,FALSE))</f>
        <v/>
      </c>
      <c r="F21" s="310" t="str">
        <f t="shared" si="5"/>
        <v/>
      </c>
      <c r="G21" s="311" t="str">
        <f t="shared" si="6"/>
        <v/>
      </c>
      <c r="H21" s="312" t="str">
        <f>IF($A21="","",VLOOKUP($A21,従事者明細!$A$3:$F$52,4,FALSE))</f>
        <v/>
      </c>
      <c r="I21" s="82"/>
      <c r="J21" s="97"/>
      <c r="K21" s="408"/>
      <c r="L21" s="167" t="str">
        <f>IF($K21="","",VLOOKUP($K21,従事者明細!$D$3:$L$52,2,FALSE))</f>
        <v/>
      </c>
      <c r="M21" s="167" t="str">
        <f t="shared" si="0"/>
        <v/>
      </c>
      <c r="N21" s="390"/>
      <c r="O21" s="391" t="str">
        <f t="shared" si="3"/>
        <v/>
      </c>
      <c r="P21" s="390"/>
      <c r="Q21" s="391" t="str">
        <f t="shared" si="4"/>
        <v/>
      </c>
    </row>
    <row r="22" spans="1:17" ht="30" hidden="1" customHeight="1">
      <c r="A22" s="409"/>
      <c r="B22" s="309" t="str">
        <f>IF($A22="","",VLOOKUP($A22,従事者明細!$A$3:$L$52,2,FALSE))</f>
        <v/>
      </c>
      <c r="C22" s="309" t="str">
        <f>IF($A22="","",VLOOKUP($A22,従事者明細!$A$3:$L$52,3,FALSE))</f>
        <v/>
      </c>
      <c r="D22" s="133" t="str">
        <f>IF($A22="","",VLOOKUP($A22,従事者明細!$A$3:$L$52,6,FALSE))</f>
        <v/>
      </c>
      <c r="E22" s="309" t="str">
        <f>IF($A22="","",VLOOKUP($A22,従事者明細!$A$3:$L$52,10,FALSE))</f>
        <v/>
      </c>
      <c r="F22" s="310" t="str">
        <f t="shared" si="5"/>
        <v/>
      </c>
      <c r="G22" s="311" t="str">
        <f t="shared" si="6"/>
        <v/>
      </c>
      <c r="H22" s="312" t="str">
        <f>IF($A22="","",VLOOKUP($A22,従事者明細!$A$3:$F$52,4,FALSE))</f>
        <v/>
      </c>
      <c r="I22" s="82"/>
      <c r="J22" s="97"/>
      <c r="K22" s="408"/>
      <c r="L22" s="167" t="str">
        <f>IF($K22="","",VLOOKUP($K22,従事者明細!$D$3:$L$52,2,FALSE))</f>
        <v/>
      </c>
      <c r="M22" s="167" t="str">
        <f t="shared" si="0"/>
        <v/>
      </c>
      <c r="N22" s="390"/>
      <c r="O22" s="391" t="str">
        <f t="shared" si="3"/>
        <v/>
      </c>
      <c r="P22" s="390"/>
      <c r="Q22" s="391" t="str">
        <f t="shared" si="4"/>
        <v/>
      </c>
    </row>
    <row r="23" spans="1:17" ht="30" hidden="1" customHeight="1">
      <c r="A23" s="409"/>
      <c r="B23" s="309" t="str">
        <f>IF($A23="","",VLOOKUP($A23,従事者明細!$A$3:$L$52,2,FALSE))</f>
        <v/>
      </c>
      <c r="C23" s="309" t="str">
        <f>IF($A23="","",VLOOKUP($A23,従事者明細!$A$3:$L$52,3,FALSE))</f>
        <v/>
      </c>
      <c r="D23" s="133" t="str">
        <f>IF($A23="","",VLOOKUP($A23,従事者明細!$A$3:$L$52,6,FALSE))</f>
        <v/>
      </c>
      <c r="E23" s="309" t="str">
        <f>IF($A23="","",VLOOKUP($A23,従事者明細!$A$3:$L$52,10,FALSE))</f>
        <v/>
      </c>
      <c r="F23" s="310" t="str">
        <f t="shared" si="5"/>
        <v/>
      </c>
      <c r="G23" s="311" t="str">
        <f t="shared" si="6"/>
        <v/>
      </c>
      <c r="H23" s="312" t="str">
        <f>IF($A23="","",VLOOKUP($A23,従事者明細!$A$3:$F$52,4,FALSE))</f>
        <v/>
      </c>
      <c r="I23" s="82"/>
      <c r="J23" s="97"/>
      <c r="K23" s="408"/>
      <c r="L23" s="167" t="str">
        <f>IF($K23="","",VLOOKUP($K23,従事者明細!$D$3:$L$52,2,FALSE))</f>
        <v/>
      </c>
      <c r="M23" s="167" t="str">
        <f t="shared" si="0"/>
        <v/>
      </c>
      <c r="N23" s="390"/>
      <c r="O23" s="391" t="str">
        <f t="shared" si="3"/>
        <v/>
      </c>
      <c r="P23" s="390"/>
      <c r="Q23" s="391" t="str">
        <f t="shared" si="4"/>
        <v/>
      </c>
    </row>
    <row r="24" spans="1:17" ht="30" hidden="1" customHeight="1">
      <c r="A24" s="409"/>
      <c r="B24" s="309" t="str">
        <f>IF($A24="","",VLOOKUP($A24,従事者明細!$A$3:$L$52,2,FALSE))</f>
        <v/>
      </c>
      <c r="C24" s="309" t="str">
        <f>IF($A24="","",VLOOKUP($A24,従事者明細!$A$3:$L$52,3,FALSE))</f>
        <v/>
      </c>
      <c r="D24" s="133" t="str">
        <f>IF($A24="","",VLOOKUP($A24,従事者明細!$A$3:$L$52,6,FALSE))</f>
        <v/>
      </c>
      <c r="E24" s="309" t="str">
        <f>IF($A24="","",VLOOKUP($A24,従事者明細!$A$3:$L$52,10,FALSE))</f>
        <v/>
      </c>
      <c r="F24" s="310" t="str">
        <f t="shared" si="5"/>
        <v/>
      </c>
      <c r="G24" s="311" t="str">
        <f t="shared" si="6"/>
        <v/>
      </c>
      <c r="H24" s="312" t="str">
        <f>IF($A24="","",VLOOKUP($A24,従事者明細!$A$3:$F$52,4,FALSE))</f>
        <v/>
      </c>
      <c r="I24" s="82"/>
      <c r="J24" s="97"/>
      <c r="K24" s="408"/>
      <c r="L24" s="167" t="str">
        <f>IF($K24="","",VLOOKUP($K24,従事者明細!$D$3:$L$52,2,FALSE))</f>
        <v/>
      </c>
      <c r="M24" s="167" t="str">
        <f t="shared" si="0"/>
        <v/>
      </c>
      <c r="N24" s="390"/>
      <c r="O24" s="391" t="str">
        <f t="shared" si="3"/>
        <v/>
      </c>
      <c r="P24" s="390"/>
      <c r="Q24" s="391" t="str">
        <f t="shared" si="4"/>
        <v/>
      </c>
    </row>
    <row r="25" spans="1:17" ht="30" hidden="1" customHeight="1">
      <c r="A25" s="409"/>
      <c r="B25" s="309" t="str">
        <f>IF($A25="","",VLOOKUP($A25,従事者明細!$A$3:$L$52,2,FALSE))</f>
        <v/>
      </c>
      <c r="C25" s="309" t="str">
        <f>IF($A25="","",VLOOKUP($A25,従事者明細!$A$3:$L$52,3,FALSE))</f>
        <v/>
      </c>
      <c r="D25" s="133" t="str">
        <f>IF($A25="","",VLOOKUP($A25,従事者明細!$A$3:$L$52,6,FALSE))</f>
        <v/>
      </c>
      <c r="E25" s="309" t="str">
        <f>IF($A25="","",VLOOKUP($A25,従事者明細!$A$3:$L$52,10,FALSE))</f>
        <v/>
      </c>
      <c r="F25" s="310" t="str">
        <f t="shared" si="5"/>
        <v/>
      </c>
      <c r="G25" s="311" t="str">
        <f t="shared" si="6"/>
        <v/>
      </c>
      <c r="H25" s="312" t="str">
        <f>IF($A25="","",VLOOKUP($A25,従事者明細!$A$3:$F$52,4,FALSE))</f>
        <v/>
      </c>
      <c r="I25" s="82"/>
      <c r="J25" s="97"/>
      <c r="K25" s="408"/>
      <c r="L25" s="167" t="str">
        <f>IF($K25="","",VLOOKUP($K25,従事者明細!$D$3:$L$52,2,FALSE))</f>
        <v/>
      </c>
      <c r="M25" s="167" t="str">
        <f t="shared" si="0"/>
        <v/>
      </c>
      <c r="N25" s="390"/>
      <c r="O25" s="391" t="str">
        <f t="shared" si="3"/>
        <v/>
      </c>
      <c r="P25" s="390"/>
      <c r="Q25" s="391" t="str">
        <f t="shared" si="4"/>
        <v/>
      </c>
    </row>
    <row r="26" spans="1:17" ht="30" customHeight="1" thickBot="1">
      <c r="A26" s="409"/>
      <c r="B26" s="309" t="str">
        <f>IF($A26="","",VLOOKUP($A26,従事者明細!$A$3:$L$52,2,FALSE))</f>
        <v/>
      </c>
      <c r="C26" s="309" t="str">
        <f>IF($A26="","",VLOOKUP($A26,従事者明細!$A$3:$L$52,3,FALSE))</f>
        <v/>
      </c>
      <c r="D26" s="133" t="str">
        <f>IF($A26="","",VLOOKUP($A26,従事者明細!$A$3:$L$52,6,FALSE))</f>
        <v/>
      </c>
      <c r="E26" s="309" t="str">
        <f>IF($A26="","",VLOOKUP($A26,従事者明細!$A$3:$L$52,10,FALSE))</f>
        <v/>
      </c>
      <c r="F26" s="310" t="str">
        <f t="shared" si="5"/>
        <v/>
      </c>
      <c r="G26" s="313" t="str">
        <f t="shared" si="6"/>
        <v/>
      </c>
      <c r="H26" s="312" t="str">
        <f>IF($A26="","",VLOOKUP($A26,従事者明細!$A$3:$F$52,4,FALSE))</f>
        <v/>
      </c>
      <c r="I26" s="349"/>
      <c r="J26" s="97"/>
      <c r="K26" s="408"/>
      <c r="L26" s="167" t="str">
        <f>IF($K26="","",VLOOKUP($K26,従事者明細!$D$3:$L$52,2,FALSE))</f>
        <v/>
      </c>
      <c r="M26" s="167" t="str">
        <f t="shared" si="0"/>
        <v/>
      </c>
      <c r="N26" s="390"/>
      <c r="O26" s="391" t="str">
        <f t="shared" si="3"/>
        <v/>
      </c>
      <c r="P26" s="390"/>
      <c r="Q26" s="391" t="str">
        <f t="shared" si="4"/>
        <v/>
      </c>
    </row>
    <row r="27" spans="1:17" ht="30" customHeight="1" thickBot="1">
      <c r="E27" s="83" t="s">
        <v>223</v>
      </c>
      <c r="F27" s="433">
        <f>SUM(F12:F26)</f>
        <v>4.59</v>
      </c>
      <c r="G27" s="321">
        <f>SUM(G12:G26)</f>
        <v>3704640</v>
      </c>
      <c r="I27" s="350">
        <f>SUM(I12:I26)</f>
        <v>138</v>
      </c>
      <c r="J27" s="401"/>
      <c r="L27" s="83" t="s">
        <v>223</v>
      </c>
      <c r="M27" s="435">
        <f>SUM(M12:M26)</f>
        <v>6229940</v>
      </c>
      <c r="O27" s="435">
        <f>SUM(O12:O26)</f>
        <v>5801733</v>
      </c>
      <c r="Q27" s="435">
        <f>SUM(Q12:Q26)</f>
        <v>3584475</v>
      </c>
    </row>
    <row r="28" spans="1:17" ht="30" customHeight="1" thickBot="1">
      <c r="B28" s="86"/>
      <c r="C28" s="86"/>
      <c r="L28" s="78" t="s">
        <v>298</v>
      </c>
      <c r="M28" s="436">
        <f>ROUNDDOWN(M27,-3)</f>
        <v>6229000</v>
      </c>
      <c r="O28" s="436">
        <f>ROUNDDOWN(O27,-3)</f>
        <v>5801000</v>
      </c>
      <c r="Q28" s="436">
        <f>ROUNDDOWN(Q27,-3)</f>
        <v>3584000</v>
      </c>
    </row>
    <row r="29" spans="1:17" ht="15" hidden="1" customHeight="1">
      <c r="B29" s="86"/>
      <c r="C29" s="86"/>
      <c r="F29" s="116" t="s">
        <v>267</v>
      </c>
      <c r="G29" s="311">
        <f>SUMIF($H$12:$H$26,"A-1",$G$12:$G$26)</f>
        <v>1935640</v>
      </c>
      <c r="H29" s="165"/>
    </row>
    <row r="30" spans="1:17" ht="15" hidden="1" customHeight="1">
      <c r="B30" s="86"/>
      <c r="C30" s="86"/>
      <c r="F30" s="116" t="s">
        <v>268</v>
      </c>
      <c r="G30" s="311">
        <f>SUMIF($H$12:$H$26,"A-2",$G$12:$G$26)</f>
        <v>0</v>
      </c>
      <c r="H30" s="165"/>
    </row>
    <row r="31" spans="1:17" ht="15" hidden="1" customHeight="1">
      <c r="B31" s="86"/>
      <c r="C31" s="86"/>
      <c r="F31" s="116" t="s">
        <v>289</v>
      </c>
      <c r="G31" s="311">
        <f>SUMIF($H$12:$H$26,"A-3",$G$12:$G$26)</f>
        <v>0</v>
      </c>
      <c r="H31" s="165"/>
    </row>
    <row r="32" spans="1:17" ht="15" hidden="1" customHeight="1">
      <c r="B32" s="86"/>
      <c r="C32" s="86"/>
      <c r="F32" s="116" t="s">
        <v>290</v>
      </c>
      <c r="G32" s="311">
        <f>SUMIF($H$12:$H$26,"A-4",$G$12:$G$26)</f>
        <v>0</v>
      </c>
      <c r="H32" s="165"/>
    </row>
    <row r="33" spans="1:17" ht="15" hidden="1" customHeight="1">
      <c r="B33" s="86"/>
      <c r="C33" s="86"/>
      <c r="F33" s="116" t="s">
        <v>291</v>
      </c>
      <c r="G33" s="311">
        <f>SUMIF($H$12:$H$26,"A-5",$G$12:$G$26)</f>
        <v>0</v>
      </c>
      <c r="H33" s="165"/>
    </row>
    <row r="34" spans="1:17" ht="15" hidden="1" customHeight="1">
      <c r="B34" s="86"/>
      <c r="C34" s="86"/>
      <c r="F34" s="116" t="s">
        <v>273</v>
      </c>
      <c r="G34" s="311">
        <f>SUMIF($H$12:$H$26,"B-1",$G$12:$G$26)</f>
        <v>198000</v>
      </c>
      <c r="H34" s="165"/>
    </row>
    <row r="35" spans="1:17" ht="15" hidden="1" customHeight="1">
      <c r="B35" s="86"/>
      <c r="C35" s="86"/>
      <c r="F35" s="116" t="s">
        <v>274</v>
      </c>
      <c r="G35" s="311">
        <f>SUMIF($H$12:$H$26,"B-2",$G$12:$G$26)</f>
        <v>198000</v>
      </c>
      <c r="H35" s="165"/>
    </row>
    <row r="36" spans="1:17" ht="15" hidden="1" customHeight="1">
      <c r="B36" s="86"/>
      <c r="C36" s="86"/>
      <c r="F36" s="116" t="s">
        <v>287</v>
      </c>
      <c r="G36" s="311">
        <f>SUMIF($H$12:$H$26,"B-3",$G$12:$G$26)</f>
        <v>0</v>
      </c>
      <c r="H36" s="165"/>
    </row>
    <row r="37" spans="1:17" ht="15" hidden="1" customHeight="1">
      <c r="B37" s="86"/>
      <c r="C37" s="86"/>
      <c r="F37" s="116" t="s">
        <v>292</v>
      </c>
      <c r="G37" s="311">
        <f>SUMIF($H$12:$H$26,"B-4",$G$12:$G$26)</f>
        <v>0</v>
      </c>
      <c r="H37" s="165"/>
    </row>
    <row r="38" spans="1:17" ht="15" hidden="1" customHeight="1">
      <c r="B38" s="86"/>
      <c r="C38" s="86"/>
      <c r="F38" s="116" t="s">
        <v>293</v>
      </c>
      <c r="G38" s="311">
        <f>SUMIF($H$12:$H$26,"B-5",$G$12:$G$26)</f>
        <v>0</v>
      </c>
      <c r="H38" s="165"/>
    </row>
    <row r="39" spans="1:17" ht="15" hidden="1" customHeight="1">
      <c r="B39" s="86"/>
      <c r="C39" s="86"/>
      <c r="F39" s="116" t="s">
        <v>278</v>
      </c>
      <c r="G39" s="311">
        <f>SUMIF($H$12:$H$26,"C-1",$G$12:$G$26)</f>
        <v>1001000.0000000001</v>
      </c>
      <c r="H39" s="165"/>
    </row>
    <row r="40" spans="1:17" ht="15" hidden="1" customHeight="1">
      <c r="B40" s="86"/>
      <c r="C40" s="86"/>
      <c r="F40" s="116" t="s">
        <v>279</v>
      </c>
      <c r="G40" s="311">
        <f>SUMIF($H$12:$H$26,"C-2",$G$12:$G$26)</f>
        <v>372000</v>
      </c>
      <c r="H40" s="165"/>
    </row>
    <row r="41" spans="1:17" ht="15" hidden="1" customHeight="1">
      <c r="B41" s="86"/>
      <c r="C41" s="86"/>
      <c r="F41" s="116" t="s">
        <v>294</v>
      </c>
      <c r="G41" s="311">
        <f>SUMIF($H$12:$H$26,"C-3",$G$12:$G$26)</f>
        <v>0</v>
      </c>
      <c r="H41" s="165"/>
    </row>
    <row r="42" spans="1:17" ht="15" hidden="1" customHeight="1">
      <c r="B42" s="86"/>
      <c r="C42" s="86"/>
      <c r="F42" s="116" t="s">
        <v>295</v>
      </c>
      <c r="G42" s="311">
        <f>SUMIF($H$12:$H$26,"C-4",$G$12:$G$26)</f>
        <v>0</v>
      </c>
      <c r="H42" s="165"/>
    </row>
    <row r="43" spans="1:17" ht="15" hidden="1" customHeight="1">
      <c r="B43" s="86"/>
      <c r="C43" s="86"/>
      <c r="F43" s="116" t="s">
        <v>296</v>
      </c>
      <c r="G43" s="311">
        <f>SUMIF($H$12:$H$26,"C-5",$G$12:$G$26)</f>
        <v>0</v>
      </c>
      <c r="H43" s="314"/>
    </row>
    <row r="44" spans="1:17" ht="15" hidden="1" customHeight="1">
      <c r="B44" s="86"/>
      <c r="C44" s="86"/>
      <c r="F44" s="116" t="s">
        <v>297</v>
      </c>
      <c r="G44" s="311">
        <f>SUM(G29:G43)</f>
        <v>3704640</v>
      </c>
      <c r="H44" s="314"/>
    </row>
    <row r="45" spans="1:17">
      <c r="B45" s="78" t="s">
        <v>226</v>
      </c>
    </row>
    <row r="46" spans="1:17" ht="57" customHeight="1">
      <c r="A46" s="115" t="s">
        <v>83</v>
      </c>
      <c r="B46" s="271" t="s">
        <v>81</v>
      </c>
      <c r="C46" s="81" t="s">
        <v>82</v>
      </c>
      <c r="D46" s="81" t="s">
        <v>34</v>
      </c>
      <c r="E46" s="81" t="s">
        <v>35</v>
      </c>
      <c r="F46" s="81" t="s">
        <v>36</v>
      </c>
      <c r="G46" s="81" t="s">
        <v>37</v>
      </c>
      <c r="H46" s="271" t="s">
        <v>38</v>
      </c>
      <c r="I46" s="81" t="s">
        <v>224</v>
      </c>
      <c r="J46" s="399"/>
      <c r="L46" s="64"/>
      <c r="M46" s="64"/>
      <c r="N46" s="64"/>
      <c r="O46" s="64"/>
      <c r="P46" s="64"/>
      <c r="Q46" s="64"/>
    </row>
    <row r="47" spans="1:17" ht="42.75">
      <c r="A47" s="409">
        <v>4</v>
      </c>
      <c r="B47" s="309" t="str">
        <f>IF($A47="","",VLOOKUP($A47,従事者明細!$A$3:$L$52,2,FALSE))</f>
        <v>◯際　Ｅ郎
（東京）</v>
      </c>
      <c r="C47" s="309" t="str">
        <f>IF($A47="","",VLOOKUP($A47,従事者明細!$A$3:$L$52,3,FALSE))</f>
        <v>チーフアドバイザー/開発課題2/市場調査</v>
      </c>
      <c r="D47" s="133">
        <f>IF($A47="","",VLOOKUP($A47,従事者明細!$A$3:$L$52,6,FALSE))</f>
        <v>2</v>
      </c>
      <c r="E47" s="309">
        <f>IF($A47="","",VLOOKUP($A47,従事者明細!$A$3:$L$52,10,FALSE))</f>
        <v>1024000</v>
      </c>
      <c r="F47" s="310">
        <f>IF(I47="","",ROUND(I47/20,2))</f>
        <v>0.5</v>
      </c>
      <c r="G47" s="311">
        <f>IF(D47="","",E47*ROUND(F47,2))</f>
        <v>512000</v>
      </c>
      <c r="H47" s="312" t="str">
        <f>IF($A47="","",VLOOKUP($A47,従事者明細!$A$3:$F$52,4,FALSE))</f>
        <v>A-1</v>
      </c>
      <c r="I47" s="87">
        <v>10</v>
      </c>
      <c r="J47" s="400"/>
      <c r="K47" s="403"/>
      <c r="L47" s="489"/>
      <c r="M47" s="489"/>
      <c r="N47" s="489"/>
      <c r="O47" s="489"/>
      <c r="P47" s="489"/>
      <c r="Q47" s="489"/>
    </row>
    <row r="48" spans="1:17" ht="30" customHeight="1">
      <c r="A48" s="409">
        <v>5</v>
      </c>
      <c r="B48" s="309" t="str">
        <f>IF($A48="","",VLOOKUP($A48,従事者明細!$A$3:$L$52,2,FALSE))</f>
        <v>◯△　太郎
（東京）</v>
      </c>
      <c r="C48" s="309" t="str">
        <f>IF($A48="","",VLOOKUP($A48,従事者明細!$A$3:$L$52,3,FALSE))</f>
        <v>パートナー連携</v>
      </c>
      <c r="D48" s="133">
        <f>IF($A48="","",VLOOKUP($A48,従事者明細!$A$3:$L$52,6,FALSE))</f>
        <v>4</v>
      </c>
      <c r="E48" s="309">
        <f>IF($A48="","",VLOOKUP($A48,従事者明細!$A$3:$L$52,10,FALSE))</f>
        <v>744000</v>
      </c>
      <c r="F48" s="310">
        <f t="shared" ref="F48:F61" si="7">IF(I48="","",ROUND(I48/20,2))</f>
        <v>0.4</v>
      </c>
      <c r="G48" s="311">
        <f t="shared" ref="G48:G61" si="8">IF(D48="","",E48*ROUND(F48,2))</f>
        <v>297600</v>
      </c>
      <c r="H48" s="312" t="str">
        <f>IF($A48="","",VLOOKUP($A48,従事者明細!$A$3:$F$52,4,FALSE))</f>
        <v>A-1</v>
      </c>
      <c r="I48" s="87">
        <v>8</v>
      </c>
      <c r="J48" s="400"/>
      <c r="K48" s="419"/>
      <c r="L48" s="428"/>
      <c r="M48" s="429"/>
      <c r="N48" s="428"/>
      <c r="O48" s="426"/>
      <c r="P48" s="428"/>
      <c r="Q48" s="426"/>
    </row>
    <row r="49" spans="1:17" ht="30" customHeight="1">
      <c r="A49" s="409">
        <v>6</v>
      </c>
      <c r="B49" s="309" t="str">
        <f>IF($A49="","",VLOOKUP($A49,従事者明細!$A$3:$L$52,2,FALSE))</f>
        <v>阿部　△△
（千葉）</v>
      </c>
      <c r="C49" s="309" t="str">
        <f>IF($A49="","",VLOOKUP($A49,従事者明細!$A$3:$L$52,3,FALSE))</f>
        <v>海外市場調査</v>
      </c>
      <c r="D49" s="133">
        <f>IF($A49="","",VLOOKUP($A49,従事者明細!$A$3:$L$52,6,FALSE))</f>
        <v>6</v>
      </c>
      <c r="E49" s="309">
        <f>IF($A49="","",VLOOKUP($A49,従事者明細!$A$3:$L$52,10,FALSE))</f>
        <v>508000</v>
      </c>
      <c r="F49" s="310">
        <f t="shared" si="7"/>
        <v>0.35</v>
      </c>
      <c r="G49" s="311">
        <f t="shared" si="8"/>
        <v>177800</v>
      </c>
      <c r="H49" s="312" t="str">
        <f>IF($A49="","",VLOOKUP($A49,従事者明細!$A$3:$F$52,4,FALSE))</f>
        <v>A-1</v>
      </c>
      <c r="I49" s="87">
        <v>7</v>
      </c>
      <c r="J49" s="400"/>
      <c r="K49" s="419"/>
      <c r="L49" s="428"/>
      <c r="M49" s="429"/>
      <c r="N49" s="428"/>
      <c r="O49" s="426"/>
      <c r="P49" s="428"/>
      <c r="Q49" s="426"/>
    </row>
    <row r="50" spans="1:17" ht="30" customHeight="1">
      <c r="A50" s="409">
        <v>7</v>
      </c>
      <c r="B50" s="309" t="str">
        <f>IF($A50="","",VLOOKUP($A50,従事者明細!$A$3:$L$52,2,FALSE))</f>
        <v>鈴◯　花子
（ハノイ）</v>
      </c>
      <c r="C50" s="309" t="str">
        <f>IF($A50="","",VLOOKUP($A50,従事者明細!$A$3:$L$52,3,FALSE))</f>
        <v>環境社会配慮調査</v>
      </c>
      <c r="D50" s="133">
        <f>IF($A50="","",VLOOKUP($A50,従事者明細!$A$3:$L$52,6,FALSE))</f>
        <v>5</v>
      </c>
      <c r="E50" s="309">
        <f>IF($A50="","",VLOOKUP($A50,従事者明細!$A$3:$L$52,10,FALSE))</f>
        <v>600000</v>
      </c>
      <c r="F50" s="310">
        <f t="shared" si="7"/>
        <v>1.5</v>
      </c>
      <c r="G50" s="311">
        <f t="shared" si="8"/>
        <v>900000</v>
      </c>
      <c r="H50" s="312" t="str">
        <f>IF($A50="","",VLOOKUP($A50,従事者明細!$A$3:$F$52,4,FALSE))</f>
        <v>B-1</v>
      </c>
      <c r="I50" s="87">
        <v>30</v>
      </c>
      <c r="J50" s="400"/>
      <c r="K50" s="419"/>
      <c r="L50" s="428"/>
      <c r="M50" s="429"/>
      <c r="N50" s="428"/>
      <c r="O50" s="426"/>
      <c r="P50" s="428"/>
      <c r="Q50" s="426"/>
    </row>
    <row r="51" spans="1:17" ht="30" customHeight="1">
      <c r="A51" s="409">
        <v>8</v>
      </c>
      <c r="B51" s="309" t="str">
        <f>IF($A51="","",VLOOKUP($A51,従事者明細!$A$3:$L$52,2,FALSE))</f>
        <v>△●　次郎
（長野）</v>
      </c>
      <c r="C51" s="309" t="str">
        <f>IF($A51="","",VLOOKUP($A51,従事者明細!$A$3:$L$52,3,FALSE))</f>
        <v>運営計画/開発効果</v>
      </c>
      <c r="D51" s="133">
        <f>IF($A51="","",VLOOKUP($A51,従事者明細!$A$3:$L$52,6,FALSE))</f>
        <v>5</v>
      </c>
      <c r="E51" s="309">
        <f>IF($A51="","",VLOOKUP($A51,従事者明細!$A$3:$L$52,10,FALSE))</f>
        <v>600000</v>
      </c>
      <c r="F51" s="310">
        <f t="shared" si="7"/>
        <v>0.25</v>
      </c>
      <c r="G51" s="311">
        <f t="shared" si="8"/>
        <v>150000</v>
      </c>
      <c r="H51" s="312" t="str">
        <f>IF($A51="","",VLOOKUP($A51,従事者明細!$A$3:$F$52,4,FALSE))</f>
        <v>B-2</v>
      </c>
      <c r="I51" s="87">
        <v>5</v>
      </c>
      <c r="J51" s="400"/>
      <c r="K51" s="419"/>
      <c r="L51" s="428"/>
      <c r="M51" s="429"/>
      <c r="N51" s="428"/>
      <c r="O51" s="426"/>
      <c r="P51" s="428"/>
      <c r="Q51" s="426"/>
    </row>
    <row r="52" spans="1:17" ht="30" customHeight="1">
      <c r="A52" s="409">
        <v>9</v>
      </c>
      <c r="B52" s="309" t="str">
        <f>IF($A52="","",VLOOKUP($A52,従事者明細!$A$3:$L$52,2,FALSE))</f>
        <v>国際　太◯
（埼玉）</v>
      </c>
      <c r="C52" s="309" t="str">
        <f>IF($A52="","",VLOOKUP($A52,従事者明細!$A$3:$L$52,3,FALSE))</f>
        <v>法制度調査</v>
      </c>
      <c r="D52" s="133">
        <f>IF($A52="","",VLOOKUP($A52,従事者明細!$A$3:$L$52,6,FALSE))</f>
        <v>3</v>
      </c>
      <c r="E52" s="309">
        <f>IF($A52="","",VLOOKUP($A52,従事者明細!$A$3:$L$52,10,FALSE))</f>
        <v>910000</v>
      </c>
      <c r="F52" s="310">
        <f t="shared" si="7"/>
        <v>0.25</v>
      </c>
      <c r="G52" s="311">
        <f t="shared" si="8"/>
        <v>227500</v>
      </c>
      <c r="H52" s="312" t="str">
        <f>IF($A52="","",VLOOKUP($A52,従事者明細!$A$3:$F$52,4,FALSE))</f>
        <v>C-1</v>
      </c>
      <c r="I52" s="87">
        <v>5</v>
      </c>
      <c r="J52" s="400"/>
      <c r="K52" s="419"/>
      <c r="L52" s="428"/>
      <c r="M52" s="429"/>
      <c r="N52" s="428"/>
      <c r="O52" s="426"/>
      <c r="P52" s="428"/>
      <c r="Q52" s="426"/>
    </row>
    <row r="53" spans="1:17" ht="30" customHeight="1">
      <c r="A53" s="409">
        <v>10</v>
      </c>
      <c r="B53" s="309" t="str">
        <f>IF($A53="","",VLOOKUP($A53,従事者明細!$A$3:$L$52,2,FALSE))</f>
        <v>協力　○○
（京都）</v>
      </c>
      <c r="C53" s="309" t="str">
        <f>IF($A53="","",VLOOKUP($A53,従事者明細!$A$3:$L$52,3,FALSE))</f>
        <v>システム設計</v>
      </c>
      <c r="D53" s="133">
        <f>IF($A53="","",VLOOKUP($A53,従事者明細!$A$3:$L$52,6,FALSE))</f>
        <v>4</v>
      </c>
      <c r="E53" s="309">
        <f>IF($A53="","",VLOOKUP($A53,従事者明細!$A$3:$L$52,10,FALSE))</f>
        <v>744000</v>
      </c>
      <c r="F53" s="310">
        <f t="shared" si="7"/>
        <v>0.35</v>
      </c>
      <c r="G53" s="311">
        <f t="shared" si="8"/>
        <v>260399.99999999997</v>
      </c>
      <c r="H53" s="312" t="str">
        <f>IF($A53="","",VLOOKUP($A53,従事者明細!$A$3:$F$52,4,FALSE))</f>
        <v>C-2</v>
      </c>
      <c r="I53" s="87">
        <v>7</v>
      </c>
      <c r="J53" s="400"/>
      <c r="K53" s="417"/>
      <c r="L53" s="423"/>
      <c r="M53" s="424"/>
      <c r="N53" s="425"/>
      <c r="O53" s="426"/>
      <c r="P53" s="427"/>
      <c r="Q53" s="426"/>
    </row>
    <row r="54" spans="1:17" ht="30" customHeight="1">
      <c r="A54" s="409"/>
      <c r="B54" s="309" t="str">
        <f>IF($A54="","",VLOOKUP($A54,従事者明細!$A$3:$L$52,2,FALSE))</f>
        <v/>
      </c>
      <c r="C54" s="309" t="str">
        <f>IF($A54="","",VLOOKUP($A54,従事者明細!$A$3:$L$52,3,FALSE))</f>
        <v/>
      </c>
      <c r="D54" s="133" t="str">
        <f>IF($A54="","",VLOOKUP($A54,従事者明細!$A$3:$L$52,6,FALSE))</f>
        <v/>
      </c>
      <c r="E54" s="309" t="str">
        <f>IF($A54="","",VLOOKUP($A54,従事者明細!$A$3:$L$52,10,FALSE))</f>
        <v/>
      </c>
      <c r="F54" s="310" t="str">
        <f t="shared" si="7"/>
        <v/>
      </c>
      <c r="G54" s="311" t="str">
        <f t="shared" si="8"/>
        <v/>
      </c>
      <c r="H54" s="312" t="str">
        <f>IF($A54="","",VLOOKUP($A54,従事者明細!$A$3:$F$52,4,FALSE))</f>
        <v/>
      </c>
      <c r="I54" s="87"/>
      <c r="J54" s="400"/>
      <c r="K54" s="417"/>
      <c r="L54" s="423"/>
      <c r="M54" s="424"/>
      <c r="N54" s="425"/>
      <c r="O54" s="426"/>
      <c r="P54" s="425"/>
      <c r="Q54" s="426"/>
    </row>
    <row r="55" spans="1:17" ht="30" hidden="1" customHeight="1">
      <c r="A55" s="409"/>
      <c r="B55" s="309" t="str">
        <f>IF($A55="","",VLOOKUP($A55,従事者明細!$A$3:$L$52,2,FALSE))</f>
        <v/>
      </c>
      <c r="C55" s="309" t="str">
        <f>IF($A55="","",VLOOKUP($A55,従事者明細!$A$3:$L$52,3,FALSE))</f>
        <v/>
      </c>
      <c r="D55" s="133" t="str">
        <f>IF($A55="","",VLOOKUP($A55,従事者明細!$A$3:$L$52,6,FALSE))</f>
        <v/>
      </c>
      <c r="E55" s="309" t="str">
        <f>IF($A55="","",VLOOKUP($A55,従事者明細!$A$3:$L$52,10,FALSE))</f>
        <v/>
      </c>
      <c r="F55" s="310" t="str">
        <f t="shared" si="7"/>
        <v/>
      </c>
      <c r="G55" s="311" t="str">
        <f t="shared" si="8"/>
        <v/>
      </c>
      <c r="H55" s="312" t="str">
        <f>IF($A55="","",VLOOKUP($A55,従事者明細!$A$3:$F$52,4,FALSE))</f>
        <v/>
      </c>
      <c r="I55" s="87"/>
      <c r="J55" s="400"/>
      <c r="K55" s="417"/>
      <c r="L55" s="418"/>
      <c r="M55" s="404"/>
      <c r="N55" s="405"/>
      <c r="O55" s="406"/>
      <c r="P55" s="405"/>
      <c r="Q55" s="406"/>
    </row>
    <row r="56" spans="1:17" ht="30" hidden="1" customHeight="1">
      <c r="A56" s="409"/>
      <c r="B56" s="309" t="str">
        <f>IF($A56="","",VLOOKUP($A56,従事者明細!$A$3:$L$52,2,FALSE))</f>
        <v/>
      </c>
      <c r="C56" s="309" t="str">
        <f>IF($A56="","",VLOOKUP($A56,従事者明細!$A$3:$L$52,3,FALSE))</f>
        <v/>
      </c>
      <c r="D56" s="133" t="str">
        <f>IF($A56="","",VLOOKUP($A56,従事者明細!$A$3:$L$52,6,FALSE))</f>
        <v/>
      </c>
      <c r="E56" s="309" t="str">
        <f>IF($A56="","",VLOOKUP($A56,従事者明細!$A$3:$L$52,10,FALSE))</f>
        <v/>
      </c>
      <c r="F56" s="310" t="str">
        <f t="shared" si="7"/>
        <v/>
      </c>
      <c r="G56" s="311" t="str">
        <f t="shared" si="8"/>
        <v/>
      </c>
      <c r="H56" s="312" t="str">
        <f>IF($A56="","",VLOOKUP($A56,従事者明細!$A$3:$F$52,4,FALSE))</f>
        <v/>
      </c>
      <c r="I56" s="87"/>
      <c r="J56" s="400"/>
      <c r="K56" s="417"/>
      <c r="L56" s="418"/>
      <c r="M56" s="404"/>
      <c r="N56" s="405"/>
      <c r="O56" s="406"/>
      <c r="P56" s="405"/>
      <c r="Q56" s="406"/>
    </row>
    <row r="57" spans="1:17" ht="30" hidden="1" customHeight="1">
      <c r="A57" s="409"/>
      <c r="B57" s="309" t="str">
        <f>IF($A57="","",VLOOKUP($A57,従事者明細!$A$3:$L$52,2,FALSE))</f>
        <v/>
      </c>
      <c r="C57" s="309" t="str">
        <f>IF($A57="","",VLOOKUP($A57,従事者明細!$A$3:$L$52,3,FALSE))</f>
        <v/>
      </c>
      <c r="D57" s="133" t="str">
        <f>IF($A57="","",VLOOKUP($A57,従事者明細!$A$3:$L$52,6,FALSE))</f>
        <v/>
      </c>
      <c r="E57" s="309" t="str">
        <f>IF($A57="","",VLOOKUP($A57,従事者明細!$A$3:$L$52,10,FALSE))</f>
        <v/>
      </c>
      <c r="F57" s="310" t="str">
        <f t="shared" si="7"/>
        <v/>
      </c>
      <c r="G57" s="311" t="str">
        <f t="shared" si="8"/>
        <v/>
      </c>
      <c r="H57" s="312" t="str">
        <f>IF($A57="","",VLOOKUP($A57,従事者明細!$A$3:$F$52,4,FALSE))</f>
        <v/>
      </c>
      <c r="I57" s="87"/>
      <c r="J57" s="400"/>
      <c r="K57" s="417"/>
      <c r="L57" s="418"/>
      <c r="M57" s="404"/>
      <c r="N57" s="405"/>
      <c r="O57" s="406"/>
      <c r="P57" s="405"/>
      <c r="Q57" s="406"/>
    </row>
    <row r="58" spans="1:17" ht="30" hidden="1" customHeight="1">
      <c r="A58" s="409"/>
      <c r="B58" s="309" t="str">
        <f>IF($A58="","",VLOOKUP($A58,従事者明細!$A$3:$L$52,2,FALSE))</f>
        <v/>
      </c>
      <c r="C58" s="309" t="str">
        <f>IF($A58="","",VLOOKUP($A58,従事者明細!$A$3:$L$52,3,FALSE))</f>
        <v/>
      </c>
      <c r="D58" s="133" t="str">
        <f>IF($A58="","",VLOOKUP($A58,従事者明細!$A$3:$L$52,6,FALSE))</f>
        <v/>
      </c>
      <c r="E58" s="309" t="str">
        <f>IF($A58="","",VLOOKUP($A58,従事者明細!$A$3:$L$52,10,FALSE))</f>
        <v/>
      </c>
      <c r="F58" s="310" t="str">
        <f t="shared" si="7"/>
        <v/>
      </c>
      <c r="G58" s="311" t="str">
        <f t="shared" si="8"/>
        <v/>
      </c>
      <c r="H58" s="312" t="str">
        <f>IF($A58="","",VLOOKUP($A58,従事者明細!$A$3:$F$52,4,FALSE))</f>
        <v/>
      </c>
      <c r="I58" s="87"/>
      <c r="J58" s="400"/>
      <c r="K58" s="417"/>
      <c r="L58" s="418"/>
      <c r="M58" s="404"/>
      <c r="N58" s="405"/>
      <c r="O58" s="406"/>
      <c r="P58" s="405"/>
      <c r="Q58" s="406"/>
    </row>
    <row r="59" spans="1:17" ht="30" hidden="1" customHeight="1">
      <c r="A59" s="409"/>
      <c r="B59" s="309" t="str">
        <f>IF($A59="","",VLOOKUP($A59,従事者明細!$A$3:$L$52,2,FALSE))</f>
        <v/>
      </c>
      <c r="C59" s="309" t="str">
        <f>IF($A59="","",VLOOKUP($A59,従事者明細!$A$3:$L$52,3,FALSE))</f>
        <v/>
      </c>
      <c r="D59" s="133" t="str">
        <f>IF($A59="","",VLOOKUP($A59,従事者明細!$A$3:$L$52,6,FALSE))</f>
        <v/>
      </c>
      <c r="E59" s="309" t="str">
        <f>IF($A59="","",VLOOKUP($A59,従事者明細!$A$3:$L$52,10,FALSE))</f>
        <v/>
      </c>
      <c r="F59" s="310" t="str">
        <f t="shared" si="7"/>
        <v/>
      </c>
      <c r="G59" s="311" t="str">
        <f t="shared" si="8"/>
        <v/>
      </c>
      <c r="H59" s="312" t="str">
        <f>IF($A59="","",VLOOKUP($A59,従事者明細!$A$3:$F$52,4,FALSE))</f>
        <v/>
      </c>
      <c r="I59" s="87"/>
      <c r="J59" s="400"/>
      <c r="K59" s="417"/>
      <c r="L59" s="418"/>
      <c r="M59" s="404"/>
      <c r="N59" s="405"/>
      <c r="O59" s="406"/>
      <c r="P59" s="405"/>
      <c r="Q59" s="406"/>
    </row>
    <row r="60" spans="1:17" ht="30" hidden="1" customHeight="1">
      <c r="A60" s="409"/>
      <c r="B60" s="309" t="str">
        <f>IF($A60="","",VLOOKUP($A60,従事者明細!$A$3:$L$52,2,FALSE))</f>
        <v/>
      </c>
      <c r="C60" s="309" t="str">
        <f>IF($A60="","",VLOOKUP($A60,従事者明細!$A$3:$L$52,3,FALSE))</f>
        <v/>
      </c>
      <c r="D60" s="133" t="str">
        <f>IF($A60="","",VLOOKUP($A60,従事者明細!$A$3:$L$52,6,FALSE))</f>
        <v/>
      </c>
      <c r="E60" s="309" t="str">
        <f>IF($A60="","",VLOOKUP($A60,従事者明細!$A$3:$L$52,10,FALSE))</f>
        <v/>
      </c>
      <c r="F60" s="310" t="str">
        <f t="shared" si="7"/>
        <v/>
      </c>
      <c r="G60" s="311" t="str">
        <f t="shared" si="8"/>
        <v/>
      </c>
      <c r="H60" s="312" t="str">
        <f>IF($A60="","",VLOOKUP($A60,従事者明細!$A$3:$F$52,4,FALSE))</f>
        <v/>
      </c>
      <c r="I60" s="87"/>
      <c r="J60" s="400"/>
      <c r="K60" s="417"/>
      <c r="L60" s="418"/>
      <c r="M60" s="404"/>
      <c r="N60" s="405"/>
      <c r="O60" s="406"/>
      <c r="P60" s="405"/>
      <c r="Q60" s="406"/>
    </row>
    <row r="61" spans="1:17" ht="30" customHeight="1" thickBot="1">
      <c r="A61" s="409"/>
      <c r="B61" s="309" t="str">
        <f>IF($A61="","",VLOOKUP($A61,従事者明細!$A$3:$L$52,2,FALSE))</f>
        <v/>
      </c>
      <c r="C61" s="309" t="str">
        <f>IF($A61="","",VLOOKUP($A61,従事者明細!$A$3:$L$52,3,FALSE))</f>
        <v/>
      </c>
      <c r="D61" s="133" t="str">
        <f>IF($A61="","",VLOOKUP($A61,従事者明細!$A$3:$L$52,6,FALSE))</f>
        <v/>
      </c>
      <c r="E61" s="309" t="str">
        <f>IF($A61="","",VLOOKUP($A61,従事者明細!$A$3:$L$52,10,FALSE))</f>
        <v/>
      </c>
      <c r="F61" s="310" t="str">
        <f t="shared" si="7"/>
        <v/>
      </c>
      <c r="G61" s="311" t="str">
        <f t="shared" si="8"/>
        <v/>
      </c>
      <c r="H61" s="312" t="str">
        <f>IF($A61="","",VLOOKUP($A61,従事者明細!$A$3:$F$52,4,FALSE))</f>
        <v/>
      </c>
      <c r="I61" s="351"/>
      <c r="J61" s="400"/>
      <c r="K61" s="417"/>
      <c r="L61" s="418"/>
      <c r="M61" s="404"/>
      <c r="N61" s="405"/>
      <c r="O61" s="406"/>
      <c r="P61" s="405"/>
      <c r="Q61" s="406"/>
    </row>
    <row r="62" spans="1:17" ht="30" customHeight="1" thickBot="1">
      <c r="E62" s="83" t="s">
        <v>223</v>
      </c>
      <c r="F62" s="433">
        <f>SUM(F47:F61)</f>
        <v>3.6</v>
      </c>
      <c r="G62" s="84">
        <f>SUM(G47:G61)</f>
        <v>2525300</v>
      </c>
      <c r="I62" s="352">
        <f>SUM(I47:I61)</f>
        <v>72</v>
      </c>
      <c r="J62" s="93"/>
      <c r="K62" s="417"/>
      <c r="L62" s="418"/>
      <c r="M62" s="404"/>
      <c r="N62" s="405"/>
      <c r="O62" s="406"/>
      <c r="P62" s="405"/>
      <c r="Q62" s="406"/>
    </row>
    <row r="63" spans="1:17" ht="15.75" customHeight="1" thickBot="1">
      <c r="B63" s="85"/>
      <c r="C63" s="85"/>
      <c r="F63" s="83"/>
      <c r="G63" s="164"/>
      <c r="H63" s="95"/>
      <c r="J63" s="95"/>
      <c r="K63" s="417"/>
      <c r="L63" s="418"/>
      <c r="M63" s="93"/>
      <c r="N63" s="93"/>
      <c r="O63" s="165"/>
      <c r="P63" s="93"/>
      <c r="Q63" s="165"/>
    </row>
    <row r="64" spans="1:17" ht="21.75" hidden="1" customHeight="1">
      <c r="B64" s="86"/>
      <c r="C64" s="86"/>
      <c r="H64" s="274" t="s">
        <v>135</v>
      </c>
      <c r="J64" s="95"/>
      <c r="K64" s="203"/>
      <c r="L64" s="93"/>
      <c r="M64" s="93"/>
      <c r="N64" s="93"/>
      <c r="O64" s="93"/>
      <c r="P64" s="93"/>
      <c r="Q64" s="93"/>
    </row>
    <row r="65" spans="2:17" ht="15" hidden="1" customHeight="1">
      <c r="B65" s="86"/>
      <c r="C65" s="86"/>
      <c r="F65" s="116" t="s">
        <v>267</v>
      </c>
      <c r="G65" s="311">
        <f>SUMIF($H$47:$H$61,"A-1",$G$47:$G$61)</f>
        <v>987400</v>
      </c>
      <c r="H65" s="163">
        <f>G29+G65</f>
        <v>2923040</v>
      </c>
      <c r="I65" s="314"/>
      <c r="J65" s="314"/>
      <c r="K65" s="203"/>
      <c r="L65" s="93"/>
      <c r="M65" s="93"/>
      <c r="N65" s="93"/>
      <c r="O65" s="93"/>
      <c r="P65" s="93"/>
      <c r="Q65" s="93"/>
    </row>
    <row r="66" spans="2:17" ht="15" hidden="1" customHeight="1">
      <c r="B66" s="86"/>
      <c r="C66" s="86"/>
      <c r="F66" s="116" t="s">
        <v>268</v>
      </c>
      <c r="G66" s="311">
        <f>SUMIF($H$47:$H$61,"A-2",$G$47:$G$61)</f>
        <v>0</v>
      </c>
      <c r="H66" s="163">
        <f>G30+G66</f>
        <v>0</v>
      </c>
      <c r="I66" s="314"/>
      <c r="J66" s="314"/>
    </row>
    <row r="67" spans="2:17" ht="15" hidden="1" customHeight="1">
      <c r="B67" s="86"/>
      <c r="C67" s="86"/>
      <c r="F67" s="116" t="s">
        <v>289</v>
      </c>
      <c r="G67" s="311">
        <f>SUMIF($H$47:$H$61,"A-3",$G$47:$G$61)</f>
        <v>0</v>
      </c>
      <c r="H67" s="163">
        <f>G31+G67</f>
        <v>0</v>
      </c>
      <c r="I67" s="314"/>
      <c r="J67" s="314"/>
    </row>
    <row r="68" spans="2:17" ht="15" hidden="1" customHeight="1">
      <c r="B68" s="86"/>
      <c r="C68" s="86"/>
      <c r="F68" s="402" t="s">
        <v>290</v>
      </c>
      <c r="G68" s="311">
        <f>SUMIF($H$47:$H$61,"A-4",$G$47:$G$61)</f>
        <v>0</v>
      </c>
      <c r="H68" s="163">
        <f t="shared" ref="H68:H79" si="9">G32+G68</f>
        <v>0</v>
      </c>
      <c r="I68" s="314"/>
      <c r="J68" s="314"/>
    </row>
    <row r="69" spans="2:17" ht="15" hidden="1" customHeight="1">
      <c r="B69" s="86"/>
      <c r="C69" s="86"/>
      <c r="F69" s="402" t="s">
        <v>291</v>
      </c>
      <c r="G69" s="311">
        <f>SUMIF($H$47:$H$61,"A-5",$G$47:$G$61)</f>
        <v>0</v>
      </c>
      <c r="H69" s="163">
        <f t="shared" si="9"/>
        <v>0</v>
      </c>
      <c r="I69" s="314"/>
      <c r="J69" s="314"/>
    </row>
    <row r="70" spans="2:17" ht="15" hidden="1" customHeight="1">
      <c r="B70" s="86"/>
      <c r="C70" s="86"/>
      <c r="F70" s="402" t="s">
        <v>273</v>
      </c>
      <c r="G70" s="311">
        <f>SUMIF($H$47:$H$61,"B-1",$G$47:$G$61)</f>
        <v>900000</v>
      </c>
      <c r="H70" s="163">
        <f t="shared" si="9"/>
        <v>1098000</v>
      </c>
      <c r="I70" s="314"/>
      <c r="J70" s="314"/>
    </row>
    <row r="71" spans="2:17" ht="15" hidden="1" customHeight="1">
      <c r="B71" s="86"/>
      <c r="C71" s="86"/>
      <c r="F71" s="402" t="s">
        <v>274</v>
      </c>
      <c r="G71" s="311">
        <f>SUMIF($H$47:$H$61,"B-2",$G$47:$G$61)</f>
        <v>150000</v>
      </c>
      <c r="H71" s="163">
        <f t="shared" si="9"/>
        <v>348000</v>
      </c>
      <c r="I71" s="314"/>
      <c r="J71" s="314"/>
    </row>
    <row r="72" spans="2:17" ht="15" hidden="1" customHeight="1">
      <c r="B72" s="86"/>
      <c r="C72" s="86"/>
      <c r="F72" s="402" t="s">
        <v>287</v>
      </c>
      <c r="G72" s="311">
        <f>SUMIF($H$47:$H$61,"B-3",$G$47:$G$61)</f>
        <v>0</v>
      </c>
      <c r="H72" s="163">
        <f t="shared" si="9"/>
        <v>0</v>
      </c>
      <c r="I72" s="314"/>
      <c r="J72" s="314"/>
    </row>
    <row r="73" spans="2:17" ht="15" hidden="1" customHeight="1">
      <c r="B73" s="86"/>
      <c r="C73" s="86"/>
      <c r="F73" s="402" t="s">
        <v>292</v>
      </c>
      <c r="G73" s="311">
        <f>SUMIF($H$47:$H$61,"B-4",$G$47:$G$61)</f>
        <v>0</v>
      </c>
      <c r="H73" s="163">
        <f t="shared" si="9"/>
        <v>0</v>
      </c>
      <c r="I73" s="314"/>
      <c r="J73" s="314"/>
    </row>
    <row r="74" spans="2:17" ht="15" hidden="1" customHeight="1">
      <c r="B74" s="86"/>
      <c r="C74" s="86"/>
      <c r="F74" s="402" t="s">
        <v>293</v>
      </c>
      <c r="G74" s="311">
        <f>SUMIF($H$47:$H$61,"B-5",$G$47:$G$61)</f>
        <v>0</v>
      </c>
      <c r="H74" s="163">
        <f t="shared" si="9"/>
        <v>0</v>
      </c>
      <c r="I74" s="314"/>
      <c r="J74" s="314"/>
    </row>
    <row r="75" spans="2:17" ht="15" hidden="1" customHeight="1">
      <c r="B75" s="86"/>
      <c r="C75" s="86"/>
      <c r="F75" s="402" t="s">
        <v>278</v>
      </c>
      <c r="G75" s="311">
        <f>SUMIF($H$47:$H$61,"C-1",$G$47:$G$61)</f>
        <v>227500</v>
      </c>
      <c r="H75" s="163">
        <f t="shared" si="9"/>
        <v>1228500</v>
      </c>
      <c r="I75" s="314"/>
      <c r="J75" s="314"/>
    </row>
    <row r="76" spans="2:17" ht="15" hidden="1" customHeight="1">
      <c r="B76" s="86"/>
      <c r="C76" s="86"/>
      <c r="F76" s="402" t="s">
        <v>279</v>
      </c>
      <c r="G76" s="311">
        <f>SUMIF($H$47:$H$61,"C-2",$G$47:$G$61)</f>
        <v>260399.99999999997</v>
      </c>
      <c r="H76" s="163">
        <f t="shared" si="9"/>
        <v>632400</v>
      </c>
      <c r="I76" s="314"/>
      <c r="J76" s="314"/>
    </row>
    <row r="77" spans="2:17" ht="15" hidden="1" customHeight="1">
      <c r="B77" s="86"/>
      <c r="C77" s="86"/>
      <c r="F77" s="402" t="s">
        <v>294</v>
      </c>
      <c r="G77" s="311">
        <f>SUMIF($H$47:$H$61,"C-3",$G$47:$G$61)</f>
        <v>0</v>
      </c>
      <c r="H77" s="163">
        <f t="shared" si="9"/>
        <v>0</v>
      </c>
      <c r="I77" s="314"/>
      <c r="J77" s="314"/>
    </row>
    <row r="78" spans="2:17" ht="15" hidden="1" customHeight="1">
      <c r="B78" s="86"/>
      <c r="C78" s="86"/>
      <c r="F78" s="402" t="s">
        <v>295</v>
      </c>
      <c r="G78" s="311">
        <f>SUMIF($H$47:$H$61,"C-4",$G$47:$G$61)</f>
        <v>0</v>
      </c>
      <c r="H78" s="163">
        <f t="shared" si="9"/>
        <v>0</v>
      </c>
      <c r="I78" s="314"/>
      <c r="J78" s="314"/>
    </row>
    <row r="79" spans="2:17" ht="15" hidden="1" customHeight="1">
      <c r="B79" s="86"/>
      <c r="C79" s="86"/>
      <c r="F79" s="402" t="s">
        <v>296</v>
      </c>
      <c r="G79" s="311">
        <f>SUMIF($H$47:$H$61,"C-5",$G$47:$G$61)</f>
        <v>0</v>
      </c>
      <c r="H79" s="163">
        <f t="shared" si="9"/>
        <v>0</v>
      </c>
      <c r="I79" s="314"/>
      <c r="J79" s="314"/>
    </row>
    <row r="80" spans="2:17" ht="15" hidden="1" customHeight="1">
      <c r="B80" s="86"/>
      <c r="C80" s="86"/>
      <c r="F80" s="116" t="s">
        <v>297</v>
      </c>
      <c r="G80" s="315">
        <f>SUM(G65:G79)</f>
        <v>2525300</v>
      </c>
      <c r="H80" s="311">
        <f>SUM(H65:H79)</f>
        <v>6229940</v>
      </c>
      <c r="I80" s="314"/>
      <c r="J80" s="314"/>
    </row>
    <row r="81" spans="1:7" ht="15" hidden="1" thickBot="1"/>
    <row r="82" spans="1:7" ht="30" customHeight="1" thickBot="1">
      <c r="A82" s="316"/>
      <c r="B82" s="78" t="s">
        <v>156</v>
      </c>
      <c r="C82" s="316"/>
      <c r="D82" s="422"/>
      <c r="E82" s="20"/>
      <c r="F82" s="183" t="s">
        <v>36</v>
      </c>
      <c r="G82" s="434" t="s">
        <v>351</v>
      </c>
    </row>
    <row r="83" spans="1:7" ht="30" customHeight="1">
      <c r="A83" s="316"/>
      <c r="B83" s="316"/>
      <c r="C83" s="316"/>
      <c r="D83" s="431"/>
      <c r="E83" s="184" t="s">
        <v>157</v>
      </c>
      <c r="F83" s="185">
        <f>SUM(F27+F62)</f>
        <v>8.19</v>
      </c>
      <c r="G83" s="186">
        <f>SUM(G27+G62)</f>
        <v>6229940</v>
      </c>
    </row>
    <row r="84" spans="1:7" ht="30" customHeight="1" thickBot="1">
      <c r="A84" s="316"/>
      <c r="B84" s="316"/>
      <c r="C84" s="316"/>
      <c r="D84" s="432"/>
      <c r="E84" s="187" t="s">
        <v>136</v>
      </c>
      <c r="F84" s="188"/>
      <c r="G84" s="189">
        <f>ROUNDDOWN(G83,-3)</f>
        <v>6229000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disablePrompts="1"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topLeftCell="A4" zoomScale="80" zoomScaleNormal="75" zoomScaleSheetLayoutView="80" workbookViewId="0">
      <selection activeCell="K26" sqref="K26"/>
    </sheetView>
  </sheetViews>
  <sheetFormatPr defaultRowHeight="14.25"/>
  <cols>
    <col min="1" max="1" width="7.875" style="78" customWidth="1"/>
    <col min="2" max="2" width="22.5" style="78" customWidth="1"/>
    <col min="3" max="3" width="11.875" style="91" customWidth="1"/>
    <col min="4" max="4" width="13.375" style="78" customWidth="1"/>
    <col min="5" max="5" width="16" style="91" customWidth="1"/>
    <col min="6" max="6" width="30.875" style="78" customWidth="1"/>
    <col min="7" max="7" width="40.75" style="78" customWidth="1"/>
    <col min="8" max="8" width="9.25" style="78" customWidth="1"/>
    <col min="9" max="16384" width="9" style="78"/>
  </cols>
  <sheetData>
    <row r="1" spans="1:8" ht="18" customHeight="1">
      <c r="A1" s="511"/>
      <c r="B1" s="511"/>
      <c r="C1" s="511"/>
      <c r="D1" s="511"/>
      <c r="E1" s="511"/>
      <c r="F1" s="511"/>
      <c r="G1" s="511"/>
    </row>
    <row r="2" spans="1:8" ht="20.100000000000001" customHeight="1" thickBot="1">
      <c r="A2" s="88"/>
      <c r="B2" s="88"/>
      <c r="C2" s="36"/>
      <c r="D2" s="64"/>
      <c r="E2" s="89"/>
      <c r="F2" s="90"/>
      <c r="G2" s="64"/>
    </row>
    <row r="3" spans="1:8" ht="20.100000000000001" customHeight="1" thickBot="1">
      <c r="A3" s="67" t="s">
        <v>57</v>
      </c>
      <c r="B3" s="67" t="s">
        <v>20</v>
      </c>
      <c r="C3" s="36"/>
      <c r="D3" s="64"/>
      <c r="E3" s="125">
        <f>E5+様式2_4旅費!F4+様式2_4旅費!F6+様式2_5現地活動費!E3+'様式2_6本邦受入活動費&amp;管理費'!E4</f>
        <v>10257000</v>
      </c>
      <c r="F3" s="64" t="s">
        <v>1</v>
      </c>
      <c r="G3" s="64"/>
    </row>
    <row r="4" spans="1:8" ht="20.100000000000001" customHeight="1">
      <c r="A4" s="37"/>
      <c r="B4" s="38"/>
      <c r="C4" s="36"/>
      <c r="D4" s="64"/>
      <c r="E4" s="65"/>
      <c r="F4" s="282"/>
      <c r="G4" s="282"/>
    </row>
    <row r="5" spans="1:8" ht="20.100000000000001" customHeight="1" thickBot="1">
      <c r="A5" s="68" t="s">
        <v>2</v>
      </c>
      <c r="B5" s="38" t="s">
        <v>172</v>
      </c>
      <c r="C5" s="36"/>
      <c r="D5" s="90"/>
      <c r="E5" s="124">
        <f>F40</f>
        <v>2650000</v>
      </c>
      <c r="F5" s="64" t="s">
        <v>1</v>
      </c>
      <c r="G5" s="64"/>
    </row>
    <row r="6" spans="1:8" ht="20.100000000000001" customHeight="1" thickTop="1">
      <c r="A6" s="64"/>
      <c r="B6" s="64"/>
      <c r="C6" s="65"/>
      <c r="D6" s="64"/>
      <c r="E6" s="65"/>
      <c r="F6" s="64"/>
      <c r="G6" s="64"/>
    </row>
    <row r="7" spans="1:8" s="19" customFormat="1" ht="21" customHeight="1" thickBot="1">
      <c r="A7" s="39" t="s">
        <v>213</v>
      </c>
      <c r="B7" s="40"/>
      <c r="C7" s="40"/>
      <c r="D7" s="52">
        <f>F22</f>
        <v>2250000</v>
      </c>
      <c r="E7" s="39" t="s">
        <v>11</v>
      </c>
      <c r="F7" s="39"/>
      <c r="G7" s="39"/>
    </row>
    <row r="8" spans="1:8" s="19" customFormat="1" ht="21" customHeight="1">
      <c r="A8" s="500" t="s">
        <v>233</v>
      </c>
      <c r="B8" s="501"/>
      <c r="C8" s="502"/>
      <c r="D8" s="206" t="s">
        <v>176</v>
      </c>
      <c r="E8" s="206" t="s">
        <v>234</v>
      </c>
      <c r="F8" s="206" t="s">
        <v>177</v>
      </c>
      <c r="G8" s="207" t="s">
        <v>238</v>
      </c>
      <c r="H8" s="241" t="s">
        <v>175</v>
      </c>
    </row>
    <row r="9" spans="1:8" s="19" customFormat="1" ht="26.25" customHeight="1">
      <c r="A9" s="495" t="s">
        <v>66</v>
      </c>
      <c r="B9" s="524"/>
      <c r="C9" s="525"/>
      <c r="D9" s="208"/>
      <c r="E9" s="208"/>
      <c r="F9" s="114">
        <f>'機材様式（別紙明細）'!C4</f>
        <v>1900000</v>
      </c>
      <c r="G9" s="219" t="s">
        <v>210</v>
      </c>
      <c r="H9" s="256"/>
    </row>
    <row r="10" spans="1:8" s="19" customFormat="1" ht="26.25" customHeight="1">
      <c r="A10" s="522"/>
      <c r="B10" s="526"/>
      <c r="C10" s="514"/>
      <c r="D10" s="209"/>
      <c r="E10" s="209"/>
      <c r="F10" s="114">
        <f>D10*E10</f>
        <v>0</v>
      </c>
      <c r="G10" s="219"/>
      <c r="H10" s="256"/>
    </row>
    <row r="11" spans="1:8" s="19" customFormat="1" ht="26.25" customHeight="1">
      <c r="A11" s="523"/>
      <c r="B11" s="526"/>
      <c r="C11" s="514"/>
      <c r="D11" s="209"/>
      <c r="E11" s="209"/>
      <c r="F11" s="114">
        <f>D11*E11</f>
        <v>0</v>
      </c>
      <c r="G11" s="219"/>
      <c r="H11" s="256"/>
    </row>
    <row r="12" spans="1:8" s="19" customFormat="1" ht="26.25" customHeight="1">
      <c r="A12" s="515" t="s">
        <v>235</v>
      </c>
      <c r="B12" s="516"/>
      <c r="C12" s="516"/>
      <c r="D12" s="516"/>
      <c r="E12" s="517"/>
      <c r="F12" s="442">
        <f>SUM(F9:F11)</f>
        <v>1900000</v>
      </c>
      <c r="G12" s="220"/>
      <c r="H12" s="256"/>
    </row>
    <row r="13" spans="1:8" s="19" customFormat="1" ht="26.25" customHeight="1">
      <c r="A13" s="495" t="s">
        <v>67</v>
      </c>
      <c r="B13" s="498"/>
      <c r="C13" s="499"/>
      <c r="D13" s="208"/>
      <c r="E13" s="208"/>
      <c r="F13" s="440">
        <f>'機材様式（別紙明細）'!C16</f>
        <v>200000</v>
      </c>
      <c r="G13" s="221" t="s">
        <v>211</v>
      </c>
      <c r="H13" s="256"/>
    </row>
    <row r="14" spans="1:8" s="19" customFormat="1" ht="26.25" customHeight="1">
      <c r="A14" s="496"/>
      <c r="B14" s="498"/>
      <c r="C14" s="499"/>
      <c r="D14" s="210"/>
      <c r="E14" s="210"/>
      <c r="F14" s="114">
        <f>D14*E14</f>
        <v>0</v>
      </c>
      <c r="G14" s="221"/>
      <c r="H14" s="256"/>
    </row>
    <row r="15" spans="1:8" s="19" customFormat="1" ht="26.25" customHeight="1">
      <c r="A15" s="497"/>
      <c r="B15" s="498"/>
      <c r="C15" s="499"/>
      <c r="D15" s="209"/>
      <c r="E15" s="209"/>
      <c r="F15" s="114">
        <f>D15*E15</f>
        <v>0</v>
      </c>
      <c r="G15" s="221"/>
      <c r="H15" s="256"/>
    </row>
    <row r="16" spans="1:8" s="19" customFormat="1" ht="26.25" customHeight="1">
      <c r="A16" s="515" t="s">
        <v>235</v>
      </c>
      <c r="B16" s="516"/>
      <c r="C16" s="516"/>
      <c r="D16" s="516"/>
      <c r="E16" s="517"/>
      <c r="F16" s="442">
        <f>SUM(F13:F15)</f>
        <v>200000</v>
      </c>
      <c r="G16" s="222"/>
      <c r="H16" s="256"/>
    </row>
    <row r="17" spans="1:8" s="19" customFormat="1" ht="26.25" customHeight="1">
      <c r="A17" s="518" t="s">
        <v>63</v>
      </c>
      <c r="B17" s="498"/>
      <c r="C17" s="499"/>
      <c r="D17" s="208"/>
      <c r="E17" s="208"/>
      <c r="F17" s="441">
        <f>'機材様式（別紙明細）'!C24</f>
        <v>150000</v>
      </c>
      <c r="G17" s="222" t="s">
        <v>212</v>
      </c>
      <c r="H17" s="256"/>
    </row>
    <row r="18" spans="1:8" s="19" customFormat="1" ht="26.25" customHeight="1">
      <c r="A18" s="519"/>
      <c r="B18" s="498"/>
      <c r="C18" s="499"/>
      <c r="D18" s="212"/>
      <c r="E18" s="213"/>
      <c r="F18" s="114">
        <f>D18*E18</f>
        <v>0</v>
      </c>
      <c r="G18" s="211"/>
      <c r="H18" s="256"/>
    </row>
    <row r="19" spans="1:8" s="19" customFormat="1" ht="26.25" customHeight="1">
      <c r="A19" s="519"/>
      <c r="B19" s="506"/>
      <c r="C19" s="507"/>
      <c r="D19" s="214"/>
      <c r="E19" s="213"/>
      <c r="F19" s="114">
        <f>D19*E19</f>
        <v>0</v>
      </c>
      <c r="G19" s="211"/>
      <c r="H19" s="256"/>
    </row>
    <row r="20" spans="1:8" s="19" customFormat="1" ht="27" customHeight="1">
      <c r="A20" s="512" t="s">
        <v>235</v>
      </c>
      <c r="B20" s="513"/>
      <c r="C20" s="513"/>
      <c r="D20" s="513"/>
      <c r="E20" s="514"/>
      <c r="F20" s="442">
        <f>SUM(F17:F19)</f>
        <v>150000</v>
      </c>
      <c r="G20" s="215"/>
    </row>
    <row r="21" spans="1:8" s="19" customFormat="1" ht="27" customHeight="1" thickBot="1">
      <c r="A21" s="520" t="s">
        <v>236</v>
      </c>
      <c r="B21" s="521"/>
      <c r="C21" s="521"/>
      <c r="D21" s="521"/>
      <c r="E21" s="521"/>
      <c r="F21" s="53">
        <f>F12+F16+F20</f>
        <v>2250000</v>
      </c>
      <c r="G21" s="216"/>
    </row>
    <row r="22" spans="1:8" s="19" customFormat="1" ht="27" customHeight="1" thickBot="1">
      <c r="A22" s="39"/>
      <c r="B22" s="39"/>
      <c r="C22" s="39"/>
      <c r="D22" s="39"/>
      <c r="E22" s="78" t="s">
        <v>93</v>
      </c>
      <c r="F22" s="367">
        <f>ROUNDDOWN(F21,-3)</f>
        <v>2250000</v>
      </c>
      <c r="G22" s="39"/>
    </row>
    <row r="23" spans="1:8" s="19" customFormat="1" ht="21" customHeight="1">
      <c r="A23" s="39"/>
      <c r="B23" s="39"/>
      <c r="C23" s="39"/>
      <c r="D23" s="39"/>
      <c r="E23" s="43"/>
      <c r="F23" s="44"/>
      <c r="G23" s="39"/>
    </row>
    <row r="24" spans="1:8" s="19" customFormat="1" ht="21" customHeight="1" thickBot="1">
      <c r="A24" s="45" t="s">
        <v>214</v>
      </c>
      <c r="B24" s="45"/>
      <c r="C24" s="45"/>
      <c r="D24" s="52">
        <f>F30</f>
        <v>100000</v>
      </c>
      <c r="E24" s="39" t="s">
        <v>11</v>
      </c>
      <c r="F24" s="39"/>
      <c r="G24" s="39"/>
    </row>
    <row r="25" spans="1:8" s="19" customFormat="1" ht="20.25" customHeight="1">
      <c r="A25" s="500" t="s">
        <v>233</v>
      </c>
      <c r="B25" s="501"/>
      <c r="C25" s="502"/>
      <c r="D25" s="206" t="s">
        <v>176</v>
      </c>
      <c r="E25" s="206" t="s">
        <v>234</v>
      </c>
      <c r="F25" s="206" t="s">
        <v>177</v>
      </c>
      <c r="G25" s="207" t="s">
        <v>238</v>
      </c>
      <c r="H25" s="241" t="s">
        <v>175</v>
      </c>
    </row>
    <row r="26" spans="1:8" s="19" customFormat="1" ht="27" customHeight="1">
      <c r="A26" s="508" t="s">
        <v>313</v>
      </c>
      <c r="B26" s="509"/>
      <c r="C26" s="510"/>
      <c r="D26" s="120">
        <v>100000</v>
      </c>
      <c r="E26" s="55">
        <v>1</v>
      </c>
      <c r="F26" s="114">
        <f>D26*E26</f>
        <v>100000</v>
      </c>
      <c r="G26" s="57" t="s">
        <v>314</v>
      </c>
      <c r="H26" s="256"/>
    </row>
    <row r="27" spans="1:8" s="19" customFormat="1" ht="27" customHeight="1">
      <c r="A27" s="508"/>
      <c r="B27" s="509"/>
      <c r="C27" s="510"/>
      <c r="D27" s="120"/>
      <c r="E27" s="55"/>
      <c r="F27" s="114">
        <f>D27*E27</f>
        <v>0</v>
      </c>
      <c r="G27" s="57"/>
      <c r="H27" s="256"/>
    </row>
    <row r="28" spans="1:8" s="19" customFormat="1" ht="27" customHeight="1">
      <c r="A28" s="508"/>
      <c r="B28" s="509"/>
      <c r="C28" s="510"/>
      <c r="D28" s="121"/>
      <c r="E28" s="56"/>
      <c r="F28" s="114">
        <f>D28*E28</f>
        <v>0</v>
      </c>
      <c r="G28" s="58"/>
      <c r="H28" s="256"/>
    </row>
    <row r="29" spans="1:8" s="19" customFormat="1" ht="27" customHeight="1" thickBot="1">
      <c r="A29" s="503" t="s">
        <v>237</v>
      </c>
      <c r="B29" s="504"/>
      <c r="C29" s="504"/>
      <c r="D29" s="504"/>
      <c r="E29" s="505"/>
      <c r="F29" s="53">
        <f>SUM(F26:F28)</f>
        <v>100000</v>
      </c>
      <c r="G29" s="42"/>
    </row>
    <row r="30" spans="1:8" s="19" customFormat="1" ht="27" customHeight="1" thickBot="1">
      <c r="A30" s="45"/>
      <c r="B30" s="45"/>
      <c r="C30" s="39"/>
      <c r="D30" s="39"/>
      <c r="E30" s="78" t="s">
        <v>93</v>
      </c>
      <c r="F30" s="367">
        <f>ROUNDDOWN(F29,-3)</f>
        <v>100000</v>
      </c>
      <c r="G30" s="39"/>
    </row>
    <row r="31" spans="1:8" s="19" customFormat="1" ht="20.25" customHeight="1">
      <c r="A31" s="45"/>
      <c r="B31" s="45"/>
      <c r="C31" s="39"/>
      <c r="D31" s="39"/>
      <c r="E31" s="43"/>
      <c r="F31" s="46"/>
      <c r="G31" s="39"/>
    </row>
    <row r="32" spans="1:8" s="19" customFormat="1" ht="20.25" customHeight="1" thickBot="1">
      <c r="A32" s="69" t="s">
        <v>215</v>
      </c>
      <c r="B32" s="69"/>
      <c r="C32" s="45"/>
      <c r="D32" s="52">
        <f>F38</f>
        <v>300000</v>
      </c>
      <c r="E32" s="39" t="s">
        <v>11</v>
      </c>
      <c r="F32" s="39"/>
      <c r="G32" s="39"/>
    </row>
    <row r="33" spans="1:8" s="19" customFormat="1" ht="20.25" customHeight="1">
      <c r="A33" s="500" t="s">
        <v>233</v>
      </c>
      <c r="B33" s="501"/>
      <c r="C33" s="502"/>
      <c r="D33" s="206" t="s">
        <v>176</v>
      </c>
      <c r="E33" s="206" t="s">
        <v>234</v>
      </c>
      <c r="F33" s="206" t="s">
        <v>177</v>
      </c>
      <c r="G33" s="207" t="s">
        <v>238</v>
      </c>
      <c r="H33" s="241" t="s">
        <v>175</v>
      </c>
    </row>
    <row r="34" spans="1:8" ht="29.25" customHeight="1">
      <c r="A34" s="508" t="s">
        <v>315</v>
      </c>
      <c r="B34" s="509"/>
      <c r="C34" s="510"/>
      <c r="D34" s="120">
        <v>200000</v>
      </c>
      <c r="E34" s="60">
        <v>1</v>
      </c>
      <c r="F34" s="114">
        <f>D34*E34</f>
        <v>200000</v>
      </c>
      <c r="G34" s="61" t="s">
        <v>317</v>
      </c>
      <c r="H34" s="82"/>
    </row>
    <row r="35" spans="1:8" ht="29.25" customHeight="1">
      <c r="A35" s="508" t="s">
        <v>316</v>
      </c>
      <c r="B35" s="509"/>
      <c r="C35" s="510"/>
      <c r="D35" s="120">
        <v>100000</v>
      </c>
      <c r="E35" s="60">
        <v>1</v>
      </c>
      <c r="F35" s="114">
        <f>D35*E35</f>
        <v>100000</v>
      </c>
      <c r="G35" s="61" t="s">
        <v>318</v>
      </c>
      <c r="H35" s="82"/>
    </row>
    <row r="36" spans="1:8" ht="29.25" customHeight="1">
      <c r="A36" s="508"/>
      <c r="B36" s="509"/>
      <c r="C36" s="510"/>
      <c r="D36" s="121"/>
      <c r="E36" s="62"/>
      <c r="F36" s="114">
        <f>D36*E36</f>
        <v>0</v>
      </c>
      <c r="G36" s="63"/>
      <c r="H36" s="82"/>
    </row>
    <row r="37" spans="1:8" ht="29.25" customHeight="1" thickBot="1">
      <c r="A37" s="503" t="s">
        <v>237</v>
      </c>
      <c r="B37" s="504"/>
      <c r="C37" s="504"/>
      <c r="D37" s="504"/>
      <c r="E37" s="505"/>
      <c r="F37" s="53">
        <f>SUM(F34:F36)</f>
        <v>300000</v>
      </c>
      <c r="G37" s="42"/>
    </row>
    <row r="38" spans="1:8" ht="24" customHeight="1" thickBot="1">
      <c r="A38" s="45"/>
      <c r="B38" s="45"/>
      <c r="C38" s="39"/>
      <c r="D38" s="39"/>
      <c r="E38" s="78" t="s">
        <v>93</v>
      </c>
      <c r="F38" s="367">
        <f>ROUNDDOWN(F37,-3)</f>
        <v>300000</v>
      </c>
      <c r="G38" s="39"/>
    </row>
    <row r="39" spans="1:8" ht="24" customHeight="1">
      <c r="A39" s="45"/>
      <c r="B39" s="45"/>
      <c r="C39" s="39"/>
      <c r="D39" s="39"/>
      <c r="E39" s="43"/>
      <c r="F39" s="46"/>
      <c r="G39" s="39"/>
    </row>
    <row r="40" spans="1:8" ht="27.75" customHeight="1">
      <c r="A40" s="45" t="s">
        <v>262</v>
      </c>
      <c r="B40" s="45"/>
      <c r="C40" s="39"/>
      <c r="E40" s="101"/>
      <c r="F40" s="259">
        <f>D7+D24+D32</f>
        <v>2650000</v>
      </c>
      <c r="G40" s="47" t="s">
        <v>11</v>
      </c>
    </row>
    <row r="41" spans="1:8">
      <c r="A41" s="39"/>
      <c r="B41" s="39"/>
      <c r="C41" s="39"/>
      <c r="D41" s="39"/>
      <c r="E41" s="45"/>
      <c r="F41" s="39"/>
      <c r="G41" s="39"/>
    </row>
    <row r="42" spans="1:8">
      <c r="A42" s="64"/>
      <c r="B42" s="64"/>
      <c r="C42" s="65"/>
      <c r="D42" s="64"/>
      <c r="E42" s="89"/>
      <c r="F42" s="64"/>
      <c r="G42" s="64"/>
    </row>
    <row r="43" spans="1:8">
      <c r="A43" s="66"/>
      <c r="B43" s="64"/>
      <c r="C43" s="65"/>
      <c r="D43" s="64"/>
      <c r="E43" s="89"/>
      <c r="F43" s="64"/>
      <c r="G43" s="64"/>
    </row>
  </sheetData>
  <mergeCells count="28"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16" zoomScale="90" zoomScaleNormal="75" zoomScaleSheetLayoutView="90" workbookViewId="0">
      <selection activeCell="AB21" sqref="AB21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18" t="s">
        <v>169</v>
      </c>
      <c r="AB1" s="218" t="s">
        <v>170</v>
      </c>
    </row>
    <row r="2" spans="1:28">
      <c r="A2" s="67" t="s">
        <v>57</v>
      </c>
      <c r="B2" s="67" t="s">
        <v>20</v>
      </c>
      <c r="C2" s="67"/>
      <c r="AA2" s="217">
        <v>3800</v>
      </c>
      <c r="AB2" s="217">
        <v>11600</v>
      </c>
    </row>
    <row r="3" spans="1:28">
      <c r="A3" s="59" t="s">
        <v>31</v>
      </c>
      <c r="B3" s="6" t="s">
        <v>55</v>
      </c>
      <c r="AA3" s="217">
        <v>3420</v>
      </c>
      <c r="AB3" s="217">
        <v>10440</v>
      </c>
    </row>
    <row r="4" spans="1:28" ht="30" customHeight="1" thickBot="1">
      <c r="B4" s="7"/>
      <c r="C4" s="7"/>
      <c r="D4" s="335" t="s">
        <v>71</v>
      </c>
      <c r="E4" s="7"/>
      <c r="F4" s="527">
        <f>E43</f>
        <v>1997000</v>
      </c>
      <c r="G4" s="527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0"/>
      <c r="AA4" s="217">
        <v>3040</v>
      </c>
      <c r="AB4" s="217">
        <v>9280</v>
      </c>
    </row>
    <row r="5" spans="1:28" ht="12" customHeight="1" thickTop="1">
      <c r="B5" s="335"/>
      <c r="C5" s="335"/>
      <c r="D5" s="335"/>
      <c r="E5" s="335"/>
      <c r="F5" s="54"/>
      <c r="G5" s="54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0"/>
    </row>
    <row r="6" spans="1:28" ht="30" customHeight="1" thickBot="1">
      <c r="B6" s="534" t="s">
        <v>171</v>
      </c>
      <c r="C6" s="534"/>
      <c r="D6" s="534"/>
      <c r="E6" s="534"/>
      <c r="F6" s="527">
        <f>V43</f>
        <v>3216000</v>
      </c>
      <c r="G6" s="527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0"/>
    </row>
    <row r="7" spans="1:28" ht="27" customHeight="1" thickTop="1">
      <c r="G7" s="7"/>
      <c r="H7" s="7"/>
    </row>
    <row r="8" spans="1:28" ht="52.5" customHeight="1">
      <c r="A8" s="115" t="s">
        <v>83</v>
      </c>
      <c r="B8" s="337" t="s">
        <v>81</v>
      </c>
      <c r="C8" s="81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1" t="s">
        <v>12</v>
      </c>
      <c r="J8" s="532"/>
      <c r="K8" s="532"/>
      <c r="L8" s="532"/>
      <c r="M8" s="532"/>
      <c r="N8" s="533"/>
      <c r="O8" s="531" t="s">
        <v>13</v>
      </c>
      <c r="P8" s="532"/>
      <c r="Q8" s="532"/>
      <c r="R8" s="532"/>
      <c r="S8" s="532"/>
      <c r="T8" s="533"/>
      <c r="U8" s="8" t="s">
        <v>59</v>
      </c>
      <c r="V8" s="8" t="s">
        <v>18</v>
      </c>
    </row>
    <row r="9" spans="1:28" ht="30" customHeight="1">
      <c r="A9" s="410">
        <v>1</v>
      </c>
      <c r="B9" s="167" t="str">
        <f>IF($A9="","",VLOOKUP($A9,従事者明細!$A$3:$F$52,2,FALSE))</f>
        <v>国◯　●男
（大阪）</v>
      </c>
      <c r="C9" s="118" t="str">
        <f>IF($A9="","",VLOOKUP($A9,従事者明細!$A$3:$F$52,3,FALSE))</f>
        <v>業務主任/事業計画策定</v>
      </c>
      <c r="D9" s="2">
        <v>15</v>
      </c>
      <c r="E9" s="181">
        <f t="shared" ref="E9:E41" si="0">IF($F9="","",VLOOKUP($F9,$D$46:$F$51,2,FALSE))</f>
        <v>224815</v>
      </c>
      <c r="F9" s="190">
        <v>2</v>
      </c>
      <c r="G9" s="324" t="str">
        <f t="shared" ref="G9:G41" si="1">IF($F9="","",VLOOKUP($F9,$D$46:$F$51,3,FALSE))</f>
        <v>C</v>
      </c>
      <c r="H9" s="10"/>
      <c r="I9" s="223">
        <v>3800</v>
      </c>
      <c r="J9" s="11" t="s">
        <v>14</v>
      </c>
      <c r="K9" s="224">
        <f>IF(D9="","",D9)</f>
        <v>15</v>
      </c>
      <c r="L9" s="11" t="s">
        <v>15</v>
      </c>
      <c r="M9" s="11" t="s">
        <v>16</v>
      </c>
      <c r="N9" s="283">
        <f>IF(K9="","",SUM(I9*K9))</f>
        <v>57000</v>
      </c>
      <c r="O9" s="258">
        <f>IF(I9=3800,11600,IF(I9=3420,10440,9280))</f>
        <v>11600</v>
      </c>
      <c r="P9" s="11" t="s">
        <v>14</v>
      </c>
      <c r="Q9" s="224">
        <f>IF(K9="","",K9-2)</f>
        <v>13</v>
      </c>
      <c r="R9" s="11" t="s">
        <v>17</v>
      </c>
      <c r="S9" s="11" t="s">
        <v>16</v>
      </c>
      <c r="T9" s="283">
        <f>IF(Q9="","",SUM(O9*Q9))</f>
        <v>150800</v>
      </c>
      <c r="U9" s="17">
        <v>2200</v>
      </c>
      <c r="V9" s="284">
        <f>IF(D9="","",SUM(N9+T9+U9))</f>
        <v>210000</v>
      </c>
      <c r="X9" s="6" t="s">
        <v>41</v>
      </c>
    </row>
    <row r="10" spans="1:28" ht="30" customHeight="1">
      <c r="A10" s="410">
        <v>1</v>
      </c>
      <c r="B10" s="167" t="str">
        <f>IF($A10="","",VLOOKUP($A10,従事者明細!$A$3:$F$52,2,FALSE))</f>
        <v>国◯　●男
（大阪）</v>
      </c>
      <c r="C10" s="118" t="str">
        <f>IF($A10="","",VLOOKUP($A10,従事者明細!$A$3:$F$52,3,FALSE))</f>
        <v>業務主任/事業計画策定</v>
      </c>
      <c r="D10" s="2">
        <v>15</v>
      </c>
      <c r="E10" s="181">
        <f t="shared" si="0"/>
        <v>224815</v>
      </c>
      <c r="F10" s="190">
        <v>2</v>
      </c>
      <c r="G10" s="324" t="str">
        <f t="shared" si="1"/>
        <v>C</v>
      </c>
      <c r="H10" s="7"/>
      <c r="I10" s="223">
        <v>3800</v>
      </c>
      <c r="J10" s="11" t="s">
        <v>14</v>
      </c>
      <c r="K10" s="224">
        <f t="shared" ref="K10:K41" si="2">IF(D10="","",D10)</f>
        <v>15</v>
      </c>
      <c r="L10" s="11" t="s">
        <v>15</v>
      </c>
      <c r="M10" s="11" t="s">
        <v>16</v>
      </c>
      <c r="N10" s="283">
        <f t="shared" ref="N10:N41" si="3">IF(K10="","",SUM(I10*K10))</f>
        <v>57000</v>
      </c>
      <c r="O10" s="258">
        <f t="shared" ref="O10:O41" si="4">IF(I10=3800,11600,IF(I10=3420,10440,9280))</f>
        <v>11600</v>
      </c>
      <c r="P10" s="11" t="s">
        <v>14</v>
      </c>
      <c r="Q10" s="224">
        <f t="shared" ref="Q10:Q41" si="5">IF(K10="","",K10-2)</f>
        <v>13</v>
      </c>
      <c r="R10" s="11" t="s">
        <v>17</v>
      </c>
      <c r="S10" s="11" t="s">
        <v>16</v>
      </c>
      <c r="T10" s="283">
        <f t="shared" ref="T10:T41" si="6">IF(Q10="","",SUM(O10*Q10))</f>
        <v>150800</v>
      </c>
      <c r="U10" s="17">
        <v>2200</v>
      </c>
      <c r="V10" s="284">
        <f t="shared" ref="V10:V41" si="7">IF(D10="","",SUM(N10+T10+U10))</f>
        <v>210000</v>
      </c>
      <c r="X10" s="6" t="s">
        <v>43</v>
      </c>
    </row>
    <row r="11" spans="1:28" ht="30" customHeight="1">
      <c r="A11" s="410">
        <v>2</v>
      </c>
      <c r="B11" s="167" t="str">
        <f>IF($A11="","",VLOOKUP($A11,従事者明細!$A$3:$F$52,2,FALSE))</f>
        <v>○○　一朗
（大阪）</v>
      </c>
      <c r="C11" s="118" t="str">
        <f>IF($A11="","",VLOOKUP($A11,従事者明細!$A$3:$F$52,3,FALSE))</f>
        <v>開発課題1/需要調査</v>
      </c>
      <c r="D11" s="2">
        <v>15</v>
      </c>
      <c r="E11" s="181">
        <f t="shared" si="0"/>
        <v>135565</v>
      </c>
      <c r="F11" s="190">
        <v>3</v>
      </c>
      <c r="G11" s="324" t="str">
        <f t="shared" si="1"/>
        <v>Y</v>
      </c>
      <c r="H11" s="7"/>
      <c r="I11" s="223">
        <v>3800</v>
      </c>
      <c r="J11" s="11" t="s">
        <v>14</v>
      </c>
      <c r="K11" s="224">
        <f t="shared" si="2"/>
        <v>15</v>
      </c>
      <c r="L11" s="11" t="s">
        <v>15</v>
      </c>
      <c r="M11" s="11" t="s">
        <v>16</v>
      </c>
      <c r="N11" s="283">
        <f t="shared" si="3"/>
        <v>57000</v>
      </c>
      <c r="O11" s="258">
        <f t="shared" si="4"/>
        <v>11600</v>
      </c>
      <c r="P11" s="11" t="s">
        <v>14</v>
      </c>
      <c r="Q11" s="224">
        <f t="shared" si="5"/>
        <v>13</v>
      </c>
      <c r="R11" s="11" t="s">
        <v>17</v>
      </c>
      <c r="S11" s="11" t="s">
        <v>16</v>
      </c>
      <c r="T11" s="283">
        <f t="shared" si="6"/>
        <v>150800</v>
      </c>
      <c r="U11" s="17">
        <v>2200</v>
      </c>
      <c r="V11" s="284">
        <f t="shared" si="7"/>
        <v>210000</v>
      </c>
      <c r="X11" s="6" t="s">
        <v>230</v>
      </c>
    </row>
    <row r="12" spans="1:28" ht="30" customHeight="1">
      <c r="A12" s="410">
        <v>2</v>
      </c>
      <c r="B12" s="167" t="str">
        <f>IF($A12="","",VLOOKUP($A12,従事者明細!$A$3:$F$52,2,FALSE))</f>
        <v>○○　一朗
（大阪）</v>
      </c>
      <c r="C12" s="118" t="str">
        <f>IF($A12="","",VLOOKUP($A12,従事者明細!$A$3:$F$52,3,FALSE))</f>
        <v>開発課題1/需要調査</v>
      </c>
      <c r="D12" s="2">
        <v>10</v>
      </c>
      <c r="E12" s="181">
        <f t="shared" si="0"/>
        <v>135565</v>
      </c>
      <c r="F12" s="190">
        <v>3</v>
      </c>
      <c r="G12" s="324" t="str">
        <f t="shared" si="1"/>
        <v>Y</v>
      </c>
      <c r="H12" s="7"/>
      <c r="I12" s="223">
        <v>3800</v>
      </c>
      <c r="J12" s="11" t="s">
        <v>14</v>
      </c>
      <c r="K12" s="224">
        <f t="shared" si="2"/>
        <v>10</v>
      </c>
      <c r="L12" s="11" t="s">
        <v>15</v>
      </c>
      <c r="M12" s="11" t="s">
        <v>16</v>
      </c>
      <c r="N12" s="283">
        <f t="shared" ref="N12:N14" si="8">IF(K12="","",SUM(I12*K12))</f>
        <v>38000</v>
      </c>
      <c r="O12" s="258">
        <f t="shared" si="4"/>
        <v>11600</v>
      </c>
      <c r="P12" s="11" t="s">
        <v>14</v>
      </c>
      <c r="Q12" s="224">
        <f t="shared" si="5"/>
        <v>8</v>
      </c>
      <c r="R12" s="11" t="s">
        <v>17</v>
      </c>
      <c r="S12" s="11" t="s">
        <v>16</v>
      </c>
      <c r="T12" s="283">
        <f t="shared" ref="T12:T14" si="9">IF(Q12="","",SUM(O12*Q12))</f>
        <v>92800</v>
      </c>
      <c r="U12" s="17">
        <v>2200</v>
      </c>
      <c r="V12" s="284">
        <f t="shared" ref="V12:V14" si="10">IF(D12="","",SUM(N12+T12+U12))</f>
        <v>133000</v>
      </c>
    </row>
    <row r="13" spans="1:28" ht="30" customHeight="1">
      <c r="A13" s="410">
        <v>3</v>
      </c>
      <c r="B13" s="167" t="str">
        <f>IF($A13="","",VLOOKUP($A13,従事者明細!$A$3:$F$52,2,FALSE))</f>
        <v>△△　◯子
（神奈川）</v>
      </c>
      <c r="C13" s="118" t="str">
        <f>IF($A13="","",VLOOKUP($A13,従事者明細!$A$3:$F$52,3,FALSE))</f>
        <v>事業化調査/操作指導</v>
      </c>
      <c r="D13" s="2">
        <v>30</v>
      </c>
      <c r="E13" s="181">
        <f t="shared" si="0"/>
        <v>140473</v>
      </c>
      <c r="F13" s="190">
        <v>5</v>
      </c>
      <c r="G13" s="324" t="str">
        <f t="shared" si="1"/>
        <v>Y</v>
      </c>
      <c r="H13" s="7"/>
      <c r="I13" s="223">
        <v>3800</v>
      </c>
      <c r="J13" s="11" t="s">
        <v>14</v>
      </c>
      <c r="K13" s="224">
        <f t="shared" ref="K13:K14" si="11">IF(D13="","",D13)</f>
        <v>30</v>
      </c>
      <c r="L13" s="11" t="s">
        <v>15</v>
      </c>
      <c r="M13" s="11" t="s">
        <v>16</v>
      </c>
      <c r="N13" s="283">
        <f t="shared" si="8"/>
        <v>114000</v>
      </c>
      <c r="O13" s="258">
        <f t="shared" ref="O13:O14" si="12">IF(I13=3800,11600,IF(I13=3420,10440,9280))</f>
        <v>11600</v>
      </c>
      <c r="P13" s="11" t="s">
        <v>14</v>
      </c>
      <c r="Q13" s="224">
        <v>30</v>
      </c>
      <c r="R13" s="11" t="s">
        <v>17</v>
      </c>
      <c r="S13" s="11" t="s">
        <v>16</v>
      </c>
      <c r="T13" s="283">
        <f t="shared" si="9"/>
        <v>348000</v>
      </c>
      <c r="U13" s="17">
        <v>0</v>
      </c>
      <c r="V13" s="284">
        <f t="shared" si="10"/>
        <v>462000</v>
      </c>
    </row>
    <row r="14" spans="1:28" ht="30" customHeight="1">
      <c r="A14" s="410">
        <v>3</v>
      </c>
      <c r="B14" s="167" t="str">
        <f>IF($A14="","",VLOOKUP($A14,従事者明細!$A$3:$F$52,2,FALSE))</f>
        <v>△△　◯子
（神奈川）</v>
      </c>
      <c r="C14" s="118" t="str">
        <f>IF($A14="","",VLOOKUP($A14,従事者明細!$A$3:$F$52,3,FALSE))</f>
        <v>事業化調査/操作指導</v>
      </c>
      <c r="D14" s="2">
        <v>5</v>
      </c>
      <c r="E14" s="181" t="str">
        <f t="shared" si="0"/>
        <v/>
      </c>
      <c r="F14" s="190"/>
      <c r="G14" s="324" t="str">
        <f t="shared" si="1"/>
        <v/>
      </c>
      <c r="H14" s="7"/>
      <c r="I14" s="223">
        <v>3420</v>
      </c>
      <c r="J14" s="11" t="s">
        <v>14</v>
      </c>
      <c r="K14" s="224">
        <f t="shared" si="11"/>
        <v>5</v>
      </c>
      <c r="L14" s="11" t="s">
        <v>15</v>
      </c>
      <c r="M14" s="11" t="s">
        <v>16</v>
      </c>
      <c r="N14" s="283">
        <f t="shared" si="8"/>
        <v>17100</v>
      </c>
      <c r="O14" s="258">
        <f t="shared" si="12"/>
        <v>10440</v>
      </c>
      <c r="P14" s="11" t="s">
        <v>14</v>
      </c>
      <c r="Q14" s="224">
        <f t="shared" ref="Q14" si="13">IF(K14="","",K14-2)</f>
        <v>3</v>
      </c>
      <c r="R14" s="11" t="s">
        <v>17</v>
      </c>
      <c r="S14" s="11" t="s">
        <v>16</v>
      </c>
      <c r="T14" s="283">
        <f t="shared" si="9"/>
        <v>31320</v>
      </c>
      <c r="U14" s="17"/>
      <c r="V14" s="284">
        <f t="shared" si="10"/>
        <v>48420</v>
      </c>
    </row>
    <row r="15" spans="1:28" ht="30" customHeight="1">
      <c r="A15" s="410">
        <v>4</v>
      </c>
      <c r="B15" s="167" t="str">
        <f>IF($A15="","",VLOOKUP($A15,従事者明細!$A$3:$F$52,2,FALSE))</f>
        <v>◯際　Ｅ郎
（東京）</v>
      </c>
      <c r="C15" s="118" t="str">
        <f>IF($A15="","",VLOOKUP($A15,従事者明細!$A$3:$F$52,3,FALSE))</f>
        <v>チーフアドバイザー/開発課題2/市場調査</v>
      </c>
      <c r="D15" s="2">
        <v>15</v>
      </c>
      <c r="E15" s="181">
        <f t="shared" si="0"/>
        <v>108918</v>
      </c>
      <c r="F15" s="190">
        <v>1</v>
      </c>
      <c r="G15" s="324" t="str">
        <f t="shared" si="1"/>
        <v>Y</v>
      </c>
      <c r="H15" s="7"/>
      <c r="I15" s="223">
        <v>3800</v>
      </c>
      <c r="J15" s="11" t="s">
        <v>14</v>
      </c>
      <c r="K15" s="224">
        <f t="shared" si="2"/>
        <v>15</v>
      </c>
      <c r="L15" s="11" t="s">
        <v>15</v>
      </c>
      <c r="M15" s="11" t="s">
        <v>16</v>
      </c>
      <c r="N15" s="283">
        <f t="shared" ref="N15" si="14">IF(K15="","",SUM(I15*K15))</f>
        <v>57000</v>
      </c>
      <c r="O15" s="258">
        <f t="shared" si="4"/>
        <v>11600</v>
      </c>
      <c r="P15" s="11" t="s">
        <v>14</v>
      </c>
      <c r="Q15" s="224">
        <f t="shared" si="5"/>
        <v>13</v>
      </c>
      <c r="R15" s="11" t="s">
        <v>17</v>
      </c>
      <c r="S15" s="11" t="s">
        <v>16</v>
      </c>
      <c r="T15" s="283">
        <f t="shared" ref="T15" si="15">IF(Q15="","",SUM(O15*Q15))</f>
        <v>150800</v>
      </c>
      <c r="U15" s="17">
        <v>4870</v>
      </c>
      <c r="V15" s="284">
        <f t="shared" ref="V15" si="16">IF(D15="","",SUM(N15+T15+U15))</f>
        <v>212670</v>
      </c>
    </row>
    <row r="16" spans="1:28" ht="30" customHeight="1">
      <c r="A16" s="410">
        <v>4</v>
      </c>
      <c r="B16" s="167" t="str">
        <f>IF($A16="","",VLOOKUP($A16,従事者明細!$A$3:$F$52,2,FALSE))</f>
        <v>◯際　Ｅ郎
（東京）</v>
      </c>
      <c r="C16" s="118" t="str">
        <f>IF($A16="","",VLOOKUP($A16,従事者明細!$A$3:$F$52,3,FALSE))</f>
        <v>チーフアドバイザー/開発課題2/市場調査</v>
      </c>
      <c r="D16" s="2">
        <v>15</v>
      </c>
      <c r="E16" s="181">
        <f t="shared" si="0"/>
        <v>108918</v>
      </c>
      <c r="F16" s="190">
        <v>1</v>
      </c>
      <c r="G16" s="324" t="str">
        <f t="shared" si="1"/>
        <v>Y</v>
      </c>
      <c r="H16" s="7"/>
      <c r="I16" s="223">
        <v>3800</v>
      </c>
      <c r="J16" s="11" t="s">
        <v>14</v>
      </c>
      <c r="K16" s="224">
        <f t="shared" si="2"/>
        <v>15</v>
      </c>
      <c r="L16" s="11" t="s">
        <v>15</v>
      </c>
      <c r="M16" s="11" t="s">
        <v>16</v>
      </c>
      <c r="N16" s="283">
        <f t="shared" ref="N16" si="17">IF(K16="","",SUM(I16*K16))</f>
        <v>57000</v>
      </c>
      <c r="O16" s="258">
        <f t="shared" si="4"/>
        <v>11600</v>
      </c>
      <c r="P16" s="11" t="s">
        <v>14</v>
      </c>
      <c r="Q16" s="224">
        <f t="shared" si="5"/>
        <v>13</v>
      </c>
      <c r="R16" s="11" t="s">
        <v>17</v>
      </c>
      <c r="S16" s="11" t="s">
        <v>16</v>
      </c>
      <c r="T16" s="283">
        <f t="shared" ref="T16:T17" si="18">IF(Q16="","",SUM(O16*Q16))</f>
        <v>150800</v>
      </c>
      <c r="U16" s="17">
        <v>4870</v>
      </c>
      <c r="V16" s="284">
        <f t="shared" ref="V16" si="19">IF(D16="","",SUM(N16+T16+U16))</f>
        <v>212670</v>
      </c>
    </row>
    <row r="17" spans="1:22" ht="30" customHeight="1">
      <c r="A17" s="410">
        <v>5</v>
      </c>
      <c r="B17" s="167" t="str">
        <f>IF($A17="","",VLOOKUP($A17,従事者明細!$A$3:$F$52,2,FALSE))</f>
        <v>◯△　太郎
（東京）</v>
      </c>
      <c r="C17" s="118" t="str">
        <f>IF($A17="","",VLOOKUP($A17,従事者明細!$A$3:$F$52,3,FALSE))</f>
        <v>パートナー連携</v>
      </c>
      <c r="D17" s="2">
        <v>15</v>
      </c>
      <c r="E17" s="181">
        <f t="shared" si="0"/>
        <v>108918</v>
      </c>
      <c r="F17" s="190">
        <v>1</v>
      </c>
      <c r="G17" s="324" t="str">
        <f t="shared" si="1"/>
        <v>Y</v>
      </c>
      <c r="H17" s="7"/>
      <c r="I17" s="223">
        <v>3800</v>
      </c>
      <c r="J17" s="11" t="s">
        <v>14</v>
      </c>
      <c r="K17" s="224">
        <f t="shared" si="2"/>
        <v>15</v>
      </c>
      <c r="L17" s="11" t="s">
        <v>15</v>
      </c>
      <c r="M17" s="11" t="s">
        <v>16</v>
      </c>
      <c r="N17" s="283">
        <f t="shared" si="3"/>
        <v>57000</v>
      </c>
      <c r="O17" s="258">
        <f t="shared" si="4"/>
        <v>11600</v>
      </c>
      <c r="P17" s="11" t="s">
        <v>14</v>
      </c>
      <c r="Q17" s="224">
        <f t="shared" si="5"/>
        <v>13</v>
      </c>
      <c r="R17" s="11" t="s">
        <v>17</v>
      </c>
      <c r="S17" s="11" t="s">
        <v>16</v>
      </c>
      <c r="T17" s="283">
        <f t="shared" si="18"/>
        <v>150800</v>
      </c>
      <c r="U17" s="17">
        <v>4870</v>
      </c>
      <c r="V17" s="284">
        <f t="shared" si="7"/>
        <v>212670</v>
      </c>
    </row>
    <row r="18" spans="1:22" ht="30" customHeight="1">
      <c r="A18" s="410">
        <v>5</v>
      </c>
      <c r="B18" s="167" t="str">
        <f>IF($A18="","",VLOOKUP($A18,従事者明細!$A$3:$F$52,2,FALSE))</f>
        <v>◯△　太郎
（東京）</v>
      </c>
      <c r="C18" s="118" t="str">
        <f>IF($A18="","",VLOOKUP($A18,従事者明細!$A$3:$F$52,3,FALSE))</f>
        <v>パートナー連携</v>
      </c>
      <c r="D18" s="2">
        <v>15</v>
      </c>
      <c r="E18" s="181">
        <f t="shared" si="0"/>
        <v>108918</v>
      </c>
      <c r="F18" s="190">
        <v>1</v>
      </c>
      <c r="G18" s="324" t="str">
        <f t="shared" si="1"/>
        <v>Y</v>
      </c>
      <c r="H18" s="7"/>
      <c r="I18" s="223">
        <v>3800</v>
      </c>
      <c r="J18" s="11" t="s">
        <v>14</v>
      </c>
      <c r="K18" s="224">
        <f t="shared" si="2"/>
        <v>15</v>
      </c>
      <c r="L18" s="11" t="s">
        <v>15</v>
      </c>
      <c r="M18" s="11" t="s">
        <v>16</v>
      </c>
      <c r="N18" s="283">
        <f t="shared" ref="N18:N19" si="20">IF(K18="","",SUM(I18*K18))</f>
        <v>57000</v>
      </c>
      <c r="O18" s="258">
        <f t="shared" si="4"/>
        <v>11600</v>
      </c>
      <c r="P18" s="11" t="s">
        <v>14</v>
      </c>
      <c r="Q18" s="224">
        <f t="shared" si="5"/>
        <v>13</v>
      </c>
      <c r="R18" s="11" t="s">
        <v>17</v>
      </c>
      <c r="S18" s="11" t="s">
        <v>16</v>
      </c>
      <c r="T18" s="283">
        <f t="shared" ref="T18:T20" si="21">IF(Q18="","",SUM(O18*Q18))</f>
        <v>150800</v>
      </c>
      <c r="U18" s="17">
        <v>4870</v>
      </c>
      <c r="V18" s="284">
        <f t="shared" ref="V18:V19" si="22">IF(D18="","",SUM(N18+T18+U18))</f>
        <v>212670</v>
      </c>
    </row>
    <row r="19" spans="1:22" ht="30" customHeight="1">
      <c r="A19" s="410">
        <v>6</v>
      </c>
      <c r="B19" s="167" t="str">
        <f>IF($A19="","",VLOOKUP($A19,従事者明細!$A$3:$F$52,2,FALSE))</f>
        <v>阿部　△△
（千葉）</v>
      </c>
      <c r="C19" s="118" t="str">
        <f>IF($A19="","",VLOOKUP($A19,従事者明細!$A$3:$F$52,3,FALSE))</f>
        <v>海外市場調査</v>
      </c>
      <c r="D19" s="2">
        <v>10</v>
      </c>
      <c r="E19" s="181">
        <f t="shared" si="0"/>
        <v>108918</v>
      </c>
      <c r="F19" s="190">
        <v>1</v>
      </c>
      <c r="G19" s="324" t="str">
        <f t="shared" si="1"/>
        <v>Y</v>
      </c>
      <c r="H19" s="7"/>
      <c r="I19" s="223">
        <v>3800</v>
      </c>
      <c r="J19" s="11" t="s">
        <v>14</v>
      </c>
      <c r="K19" s="224">
        <f t="shared" ref="K19" si="23">IF(D19="","",D19)</f>
        <v>10</v>
      </c>
      <c r="L19" s="11" t="s">
        <v>15</v>
      </c>
      <c r="M19" s="11" t="s">
        <v>16</v>
      </c>
      <c r="N19" s="283">
        <f t="shared" si="20"/>
        <v>38000</v>
      </c>
      <c r="O19" s="258">
        <f t="shared" ref="O19" si="24">IF(I19=3800,11600,IF(I19=3420,10440,9280))</f>
        <v>11600</v>
      </c>
      <c r="P19" s="11" t="s">
        <v>14</v>
      </c>
      <c r="Q19" s="224">
        <f t="shared" ref="Q19" si="25">IF(K19="","",K19-2)</f>
        <v>8</v>
      </c>
      <c r="R19" s="11" t="s">
        <v>17</v>
      </c>
      <c r="S19" s="11" t="s">
        <v>16</v>
      </c>
      <c r="T19" s="283">
        <f t="shared" si="21"/>
        <v>92800</v>
      </c>
      <c r="U19" s="17">
        <v>0</v>
      </c>
      <c r="V19" s="284">
        <f t="shared" si="22"/>
        <v>130800</v>
      </c>
    </row>
    <row r="20" spans="1:22" ht="30" customHeight="1">
      <c r="A20" s="410">
        <v>7</v>
      </c>
      <c r="B20" s="167" t="str">
        <f>IF($A20="","",VLOOKUP($A20,従事者明細!$A$3:$F$52,2,FALSE))</f>
        <v>鈴◯　花子
（ハノイ）</v>
      </c>
      <c r="C20" s="118" t="str">
        <f>IF($A20="","",VLOOKUP($A20,従事者明細!$A$3:$F$52,3,FALSE))</f>
        <v>環境社会配慮調査</v>
      </c>
      <c r="D20" s="2">
        <v>10</v>
      </c>
      <c r="E20" s="181">
        <f t="shared" si="0"/>
        <v>55650</v>
      </c>
      <c r="F20" s="190">
        <v>6</v>
      </c>
      <c r="G20" s="324" t="str">
        <f t="shared" si="1"/>
        <v>現地国内移動</v>
      </c>
      <c r="H20" s="7"/>
      <c r="I20" s="223">
        <v>3800</v>
      </c>
      <c r="J20" s="11" t="s">
        <v>14</v>
      </c>
      <c r="K20" s="224">
        <f t="shared" si="2"/>
        <v>10</v>
      </c>
      <c r="L20" s="11" t="s">
        <v>15</v>
      </c>
      <c r="M20" s="11" t="s">
        <v>16</v>
      </c>
      <c r="N20" s="283">
        <f t="shared" si="3"/>
        <v>38000</v>
      </c>
      <c r="O20" s="258">
        <f t="shared" si="4"/>
        <v>11600</v>
      </c>
      <c r="P20" s="11" t="s">
        <v>14</v>
      </c>
      <c r="Q20" s="224">
        <v>9</v>
      </c>
      <c r="R20" s="11" t="s">
        <v>17</v>
      </c>
      <c r="S20" s="11" t="s">
        <v>16</v>
      </c>
      <c r="T20" s="283">
        <f t="shared" si="21"/>
        <v>104400</v>
      </c>
      <c r="U20" s="17">
        <v>0</v>
      </c>
      <c r="V20" s="284">
        <f t="shared" si="7"/>
        <v>142400</v>
      </c>
    </row>
    <row r="21" spans="1:22" ht="30" customHeight="1">
      <c r="A21" s="410">
        <v>8</v>
      </c>
      <c r="B21" s="167" t="str">
        <f>IF($A21="","",VLOOKUP($A21,従事者明細!$A$3:$F$52,2,FALSE))</f>
        <v>△●　次郎
（長野）</v>
      </c>
      <c r="C21" s="118" t="str">
        <f>IF($A21="","",VLOOKUP($A21,従事者明細!$A$3:$F$52,3,FALSE))</f>
        <v>運営計画/開発効果</v>
      </c>
      <c r="D21" s="2">
        <v>10</v>
      </c>
      <c r="E21" s="181">
        <f t="shared" si="0"/>
        <v>140473</v>
      </c>
      <c r="F21" s="190">
        <v>5</v>
      </c>
      <c r="G21" s="324" t="str">
        <f t="shared" si="1"/>
        <v>Y</v>
      </c>
      <c r="H21" s="7"/>
      <c r="I21" s="223">
        <v>3800</v>
      </c>
      <c r="J21" s="11" t="s">
        <v>14</v>
      </c>
      <c r="K21" s="224">
        <f t="shared" ref="K21" si="26">IF(D21="","",D21)</f>
        <v>10</v>
      </c>
      <c r="L21" s="11" t="s">
        <v>15</v>
      </c>
      <c r="M21" s="11" t="s">
        <v>16</v>
      </c>
      <c r="N21" s="283">
        <f t="shared" si="3"/>
        <v>38000</v>
      </c>
      <c r="O21" s="258">
        <f t="shared" ref="O21" si="27">IF(I21=3800,11600,IF(I21=3420,10440,9280))</f>
        <v>11600</v>
      </c>
      <c r="P21" s="11" t="s">
        <v>14</v>
      </c>
      <c r="Q21" s="224">
        <f t="shared" ref="Q21" si="28">IF(K21="","",K21-2)</f>
        <v>8</v>
      </c>
      <c r="R21" s="11" t="s">
        <v>17</v>
      </c>
      <c r="S21" s="11" t="s">
        <v>16</v>
      </c>
      <c r="T21" s="283">
        <f t="shared" ref="T21" si="29">IF(Q21="","",SUM(O21*Q21))</f>
        <v>92800</v>
      </c>
      <c r="U21" s="17">
        <v>12000</v>
      </c>
      <c r="V21" s="284">
        <f t="shared" si="7"/>
        <v>142800</v>
      </c>
    </row>
    <row r="22" spans="1:22" ht="30" customHeight="1">
      <c r="A22" s="410">
        <v>9</v>
      </c>
      <c r="B22" s="167" t="str">
        <f>IF($A22="","",VLOOKUP($A22,従事者明細!$A$3:$F$52,2,FALSE))</f>
        <v>国際　太◯
（埼玉）</v>
      </c>
      <c r="C22" s="118" t="str">
        <f>IF($A22="","",VLOOKUP($A22,従事者明細!$A$3:$F$52,3,FALSE))</f>
        <v>法制度調査</v>
      </c>
      <c r="D22" s="2">
        <v>25</v>
      </c>
      <c r="E22" s="181">
        <f t="shared" si="0"/>
        <v>129973</v>
      </c>
      <c r="F22" s="190">
        <v>4</v>
      </c>
      <c r="G22" s="324" t="str">
        <f t="shared" si="1"/>
        <v>Y</v>
      </c>
      <c r="H22" s="7"/>
      <c r="I22" s="223">
        <v>3800</v>
      </c>
      <c r="J22" s="11" t="s">
        <v>14</v>
      </c>
      <c r="K22" s="224">
        <f t="shared" si="2"/>
        <v>25</v>
      </c>
      <c r="L22" s="11" t="s">
        <v>15</v>
      </c>
      <c r="M22" s="11" t="s">
        <v>16</v>
      </c>
      <c r="N22" s="283">
        <f t="shared" si="3"/>
        <v>95000</v>
      </c>
      <c r="O22" s="258">
        <f t="shared" si="4"/>
        <v>11600</v>
      </c>
      <c r="P22" s="11" t="s">
        <v>14</v>
      </c>
      <c r="Q22" s="224">
        <f t="shared" si="5"/>
        <v>23</v>
      </c>
      <c r="R22" s="11" t="s">
        <v>17</v>
      </c>
      <c r="S22" s="11" t="s">
        <v>16</v>
      </c>
      <c r="T22" s="283">
        <f t="shared" si="6"/>
        <v>266800</v>
      </c>
      <c r="U22" s="17">
        <v>2435</v>
      </c>
      <c r="V22" s="284">
        <f t="shared" si="7"/>
        <v>364235</v>
      </c>
    </row>
    <row r="23" spans="1:22" ht="30" customHeight="1">
      <c r="A23" s="410">
        <v>9</v>
      </c>
      <c r="B23" s="167" t="str">
        <f>IF($A23="","",VLOOKUP($A23,従事者明細!$A$3:$F$52,2,FALSE))</f>
        <v>国際　太◯
（埼玉）</v>
      </c>
      <c r="C23" s="118" t="str">
        <f>IF($A23="","",VLOOKUP($A23,従事者明細!$A$3:$F$52,3,FALSE))</f>
        <v>法制度調査</v>
      </c>
      <c r="D23" s="2">
        <v>8</v>
      </c>
      <c r="E23" s="181">
        <f t="shared" si="0"/>
        <v>129973</v>
      </c>
      <c r="F23" s="190">
        <v>4</v>
      </c>
      <c r="G23" s="324" t="str">
        <f t="shared" si="1"/>
        <v>Y</v>
      </c>
      <c r="H23" s="7"/>
      <c r="I23" s="223">
        <v>3800</v>
      </c>
      <c r="J23" s="11" t="s">
        <v>14</v>
      </c>
      <c r="K23" s="224">
        <f t="shared" si="2"/>
        <v>8</v>
      </c>
      <c r="L23" s="11" t="s">
        <v>15</v>
      </c>
      <c r="M23" s="11" t="s">
        <v>16</v>
      </c>
      <c r="N23" s="283">
        <f t="shared" si="3"/>
        <v>30400</v>
      </c>
      <c r="O23" s="258">
        <f t="shared" si="4"/>
        <v>11600</v>
      </c>
      <c r="P23" s="11" t="s">
        <v>14</v>
      </c>
      <c r="Q23" s="224">
        <f t="shared" si="5"/>
        <v>6</v>
      </c>
      <c r="R23" s="11" t="s">
        <v>17</v>
      </c>
      <c r="S23" s="11" t="s">
        <v>16</v>
      </c>
      <c r="T23" s="283">
        <f t="shared" si="6"/>
        <v>69600</v>
      </c>
      <c r="U23" s="17">
        <v>2435</v>
      </c>
      <c r="V23" s="284">
        <f t="shared" si="7"/>
        <v>102435</v>
      </c>
    </row>
    <row r="24" spans="1:22" ht="30" customHeight="1">
      <c r="A24" s="410">
        <v>10</v>
      </c>
      <c r="B24" s="167" t="str">
        <f>IF($A24="","",VLOOKUP($A24,従事者明細!$A$3:$F$52,2,FALSE))</f>
        <v>協力　○○
（京都）</v>
      </c>
      <c r="C24" s="118" t="str">
        <f>IF($A24="","",VLOOKUP($A24,従事者明細!$A$3:$F$52,3,FALSE))</f>
        <v>システム設計</v>
      </c>
      <c r="D24" s="2">
        <v>15</v>
      </c>
      <c r="E24" s="181">
        <f t="shared" si="0"/>
        <v>135565</v>
      </c>
      <c r="F24" s="190">
        <v>3</v>
      </c>
      <c r="G24" s="324" t="str">
        <f t="shared" si="1"/>
        <v>Y</v>
      </c>
      <c r="H24" s="7"/>
      <c r="I24" s="223">
        <v>3800</v>
      </c>
      <c r="J24" s="11" t="s">
        <v>14</v>
      </c>
      <c r="K24" s="224">
        <f t="shared" si="2"/>
        <v>15</v>
      </c>
      <c r="L24" s="11" t="s">
        <v>15</v>
      </c>
      <c r="M24" s="11" t="s">
        <v>16</v>
      </c>
      <c r="N24" s="283">
        <f t="shared" ref="N24:N31" si="30">IF(K24="","",SUM(I24*K24))</f>
        <v>57000</v>
      </c>
      <c r="O24" s="258">
        <f t="shared" si="4"/>
        <v>11600</v>
      </c>
      <c r="P24" s="11" t="s">
        <v>14</v>
      </c>
      <c r="Q24" s="224">
        <f t="shared" si="5"/>
        <v>13</v>
      </c>
      <c r="R24" s="11" t="s">
        <v>17</v>
      </c>
      <c r="S24" s="11" t="s">
        <v>16</v>
      </c>
      <c r="T24" s="283">
        <f t="shared" ref="T24:T31" si="31">IF(Q24="","",SUM(O24*Q24))</f>
        <v>150800</v>
      </c>
      <c r="U24" s="17">
        <v>2200</v>
      </c>
      <c r="V24" s="284">
        <f t="shared" ref="V24:V31" si="32">IF(D24="","",SUM(N24+T24+U24))</f>
        <v>210000</v>
      </c>
    </row>
    <row r="25" spans="1:22" ht="30" customHeight="1">
      <c r="A25" s="410"/>
      <c r="B25" s="167" t="str">
        <f>IF($A25="","",VLOOKUP($A25,従事者明細!$A$3:$F$52,2,FALSE))</f>
        <v/>
      </c>
      <c r="C25" s="118" t="str">
        <f>IF($A25="","",VLOOKUP($A25,従事者明細!$A$3:$F$52,3,FALSE))</f>
        <v/>
      </c>
      <c r="D25" s="2"/>
      <c r="E25" s="181" t="str">
        <f t="shared" si="0"/>
        <v/>
      </c>
      <c r="F25" s="190"/>
      <c r="G25" s="324" t="str">
        <f t="shared" si="1"/>
        <v/>
      </c>
      <c r="H25" s="7"/>
      <c r="I25" s="223">
        <v>3800</v>
      </c>
      <c r="J25" s="11" t="s">
        <v>14</v>
      </c>
      <c r="K25" s="224" t="str">
        <f t="shared" si="2"/>
        <v/>
      </c>
      <c r="L25" s="11" t="s">
        <v>15</v>
      </c>
      <c r="M25" s="11" t="s">
        <v>16</v>
      </c>
      <c r="N25" s="283" t="str">
        <f t="shared" si="30"/>
        <v/>
      </c>
      <c r="O25" s="258">
        <f t="shared" si="4"/>
        <v>11600</v>
      </c>
      <c r="P25" s="11" t="s">
        <v>14</v>
      </c>
      <c r="Q25" s="224" t="str">
        <f t="shared" si="5"/>
        <v/>
      </c>
      <c r="R25" s="11" t="s">
        <v>17</v>
      </c>
      <c r="S25" s="11" t="s">
        <v>16</v>
      </c>
      <c r="T25" s="283" t="str">
        <f t="shared" si="31"/>
        <v/>
      </c>
      <c r="U25" s="17"/>
      <c r="V25" s="284" t="str">
        <f t="shared" si="32"/>
        <v/>
      </c>
    </row>
    <row r="26" spans="1:22" ht="30" hidden="1" customHeight="1">
      <c r="A26" s="410"/>
      <c r="B26" s="167" t="str">
        <f>IF($A26="","",VLOOKUP($A26,従事者明細!$A$3:$F$52,2,FALSE))</f>
        <v/>
      </c>
      <c r="C26" s="118" t="str">
        <f>IF($A26="","",VLOOKUP($A26,従事者明細!$A$3:$F$52,3,FALSE))</f>
        <v/>
      </c>
      <c r="D26" s="2"/>
      <c r="E26" s="181" t="str">
        <f t="shared" si="0"/>
        <v/>
      </c>
      <c r="F26" s="190"/>
      <c r="G26" s="324" t="str">
        <f t="shared" si="1"/>
        <v/>
      </c>
      <c r="H26" s="7"/>
      <c r="I26" s="223">
        <v>3800</v>
      </c>
      <c r="J26" s="11" t="s">
        <v>14</v>
      </c>
      <c r="K26" s="224" t="str">
        <f t="shared" si="2"/>
        <v/>
      </c>
      <c r="L26" s="11" t="s">
        <v>15</v>
      </c>
      <c r="M26" s="11" t="s">
        <v>16</v>
      </c>
      <c r="N26" s="283" t="str">
        <f t="shared" si="30"/>
        <v/>
      </c>
      <c r="O26" s="258">
        <f t="shared" si="4"/>
        <v>11600</v>
      </c>
      <c r="P26" s="11" t="s">
        <v>14</v>
      </c>
      <c r="Q26" s="224" t="str">
        <f t="shared" si="5"/>
        <v/>
      </c>
      <c r="R26" s="11" t="s">
        <v>17</v>
      </c>
      <c r="S26" s="11" t="s">
        <v>16</v>
      </c>
      <c r="T26" s="283" t="str">
        <f t="shared" si="31"/>
        <v/>
      </c>
      <c r="U26" s="17"/>
      <c r="V26" s="284" t="str">
        <f t="shared" si="32"/>
        <v/>
      </c>
    </row>
    <row r="27" spans="1:22" ht="30" hidden="1" customHeight="1">
      <c r="A27" s="410"/>
      <c r="B27" s="167" t="str">
        <f>IF($A27="","",VLOOKUP($A27,従事者明細!$A$3:$F$52,2,FALSE))</f>
        <v/>
      </c>
      <c r="C27" s="118" t="str">
        <f>IF($A27="","",VLOOKUP($A27,従事者明細!$A$3:$F$52,3,FALSE))</f>
        <v/>
      </c>
      <c r="D27" s="2"/>
      <c r="E27" s="181" t="str">
        <f t="shared" si="0"/>
        <v/>
      </c>
      <c r="F27" s="190"/>
      <c r="G27" s="324" t="str">
        <f t="shared" si="1"/>
        <v/>
      </c>
      <c r="H27" s="7"/>
      <c r="I27" s="223">
        <v>3800</v>
      </c>
      <c r="J27" s="11" t="s">
        <v>14</v>
      </c>
      <c r="K27" s="224" t="str">
        <f t="shared" si="2"/>
        <v/>
      </c>
      <c r="L27" s="11" t="s">
        <v>15</v>
      </c>
      <c r="M27" s="11" t="s">
        <v>16</v>
      </c>
      <c r="N27" s="283" t="str">
        <f t="shared" si="30"/>
        <v/>
      </c>
      <c r="O27" s="258">
        <f t="shared" si="4"/>
        <v>11600</v>
      </c>
      <c r="P27" s="11" t="s">
        <v>14</v>
      </c>
      <c r="Q27" s="224" t="str">
        <f t="shared" si="5"/>
        <v/>
      </c>
      <c r="R27" s="11" t="s">
        <v>17</v>
      </c>
      <c r="S27" s="11" t="s">
        <v>16</v>
      </c>
      <c r="T27" s="283" t="str">
        <f t="shared" si="31"/>
        <v/>
      </c>
      <c r="U27" s="17"/>
      <c r="V27" s="284" t="str">
        <f t="shared" si="32"/>
        <v/>
      </c>
    </row>
    <row r="28" spans="1:22" ht="30" hidden="1" customHeight="1">
      <c r="A28" s="410"/>
      <c r="B28" s="167" t="str">
        <f>IF($A28="","",VLOOKUP($A28,従事者明細!$A$3:$F$52,2,FALSE))</f>
        <v/>
      </c>
      <c r="C28" s="118" t="str">
        <f>IF($A28="","",VLOOKUP($A28,従事者明細!$A$3:$F$52,3,FALSE))</f>
        <v/>
      </c>
      <c r="D28" s="2"/>
      <c r="E28" s="181" t="str">
        <f t="shared" si="0"/>
        <v/>
      </c>
      <c r="F28" s="190"/>
      <c r="G28" s="324" t="str">
        <f t="shared" si="1"/>
        <v/>
      </c>
      <c r="H28" s="7"/>
      <c r="I28" s="223">
        <v>3800</v>
      </c>
      <c r="J28" s="11" t="s">
        <v>14</v>
      </c>
      <c r="K28" s="224" t="str">
        <f t="shared" si="2"/>
        <v/>
      </c>
      <c r="L28" s="11" t="s">
        <v>15</v>
      </c>
      <c r="M28" s="11" t="s">
        <v>16</v>
      </c>
      <c r="N28" s="283" t="str">
        <f t="shared" si="30"/>
        <v/>
      </c>
      <c r="O28" s="258">
        <f t="shared" si="4"/>
        <v>11600</v>
      </c>
      <c r="P28" s="11" t="s">
        <v>14</v>
      </c>
      <c r="Q28" s="224" t="str">
        <f t="shared" si="5"/>
        <v/>
      </c>
      <c r="R28" s="11" t="s">
        <v>17</v>
      </c>
      <c r="S28" s="11" t="s">
        <v>16</v>
      </c>
      <c r="T28" s="283" t="str">
        <f t="shared" si="31"/>
        <v/>
      </c>
      <c r="U28" s="17"/>
      <c r="V28" s="284" t="str">
        <f t="shared" si="32"/>
        <v/>
      </c>
    </row>
    <row r="29" spans="1:22" ht="30" hidden="1" customHeight="1">
      <c r="A29" s="410"/>
      <c r="B29" s="167" t="str">
        <f>IF($A29="","",VLOOKUP($A29,従事者明細!$A$3:$F$52,2,FALSE))</f>
        <v/>
      </c>
      <c r="C29" s="118" t="str">
        <f>IF($A29="","",VLOOKUP($A29,従事者明細!$A$3:$F$52,3,FALSE))</f>
        <v/>
      </c>
      <c r="D29" s="2"/>
      <c r="E29" s="181" t="str">
        <f t="shared" si="0"/>
        <v/>
      </c>
      <c r="F29" s="190"/>
      <c r="G29" s="324" t="str">
        <f t="shared" si="1"/>
        <v/>
      </c>
      <c r="H29" s="7"/>
      <c r="I29" s="223">
        <v>3800</v>
      </c>
      <c r="J29" s="11" t="s">
        <v>14</v>
      </c>
      <c r="K29" s="224" t="str">
        <f t="shared" si="2"/>
        <v/>
      </c>
      <c r="L29" s="11" t="s">
        <v>15</v>
      </c>
      <c r="M29" s="11" t="s">
        <v>16</v>
      </c>
      <c r="N29" s="283" t="str">
        <f t="shared" si="30"/>
        <v/>
      </c>
      <c r="O29" s="258">
        <f t="shared" si="4"/>
        <v>11600</v>
      </c>
      <c r="P29" s="11" t="s">
        <v>14</v>
      </c>
      <c r="Q29" s="224" t="str">
        <f t="shared" si="5"/>
        <v/>
      </c>
      <c r="R29" s="11" t="s">
        <v>17</v>
      </c>
      <c r="S29" s="11" t="s">
        <v>16</v>
      </c>
      <c r="T29" s="283" t="str">
        <f t="shared" si="31"/>
        <v/>
      </c>
      <c r="U29" s="17"/>
      <c r="V29" s="284" t="str">
        <f t="shared" si="32"/>
        <v/>
      </c>
    </row>
    <row r="30" spans="1:22" ht="30" hidden="1" customHeight="1">
      <c r="A30" s="410"/>
      <c r="B30" s="167" t="str">
        <f>IF($A30="","",VLOOKUP($A30,従事者明細!$A$3:$F$52,2,FALSE))</f>
        <v/>
      </c>
      <c r="C30" s="118" t="str">
        <f>IF($A30="","",VLOOKUP($A30,従事者明細!$A$3:$F$52,3,FALSE))</f>
        <v/>
      </c>
      <c r="D30" s="2"/>
      <c r="E30" s="181" t="str">
        <f t="shared" si="0"/>
        <v/>
      </c>
      <c r="F30" s="190"/>
      <c r="G30" s="324" t="str">
        <f t="shared" si="1"/>
        <v/>
      </c>
      <c r="H30" s="7"/>
      <c r="I30" s="223">
        <v>3800</v>
      </c>
      <c r="J30" s="11" t="s">
        <v>14</v>
      </c>
      <c r="K30" s="224" t="str">
        <f t="shared" si="2"/>
        <v/>
      </c>
      <c r="L30" s="11" t="s">
        <v>15</v>
      </c>
      <c r="M30" s="11" t="s">
        <v>16</v>
      </c>
      <c r="N30" s="283" t="str">
        <f t="shared" si="30"/>
        <v/>
      </c>
      <c r="O30" s="258">
        <f t="shared" si="4"/>
        <v>11600</v>
      </c>
      <c r="P30" s="11" t="s">
        <v>14</v>
      </c>
      <c r="Q30" s="224" t="str">
        <f t="shared" si="5"/>
        <v/>
      </c>
      <c r="R30" s="11" t="s">
        <v>17</v>
      </c>
      <c r="S30" s="11" t="s">
        <v>16</v>
      </c>
      <c r="T30" s="283" t="str">
        <f t="shared" si="31"/>
        <v/>
      </c>
      <c r="U30" s="17"/>
      <c r="V30" s="284" t="str">
        <f t="shared" si="32"/>
        <v/>
      </c>
    </row>
    <row r="31" spans="1:22" ht="30" hidden="1" customHeight="1">
      <c r="A31" s="410"/>
      <c r="B31" s="167" t="str">
        <f>IF($A31="","",VLOOKUP($A31,従事者明細!$A$3:$F$52,2,FALSE))</f>
        <v/>
      </c>
      <c r="C31" s="118" t="str">
        <f>IF($A31="","",VLOOKUP($A31,従事者明細!$A$3:$F$52,3,FALSE))</f>
        <v/>
      </c>
      <c r="D31" s="2"/>
      <c r="E31" s="181" t="str">
        <f t="shared" si="0"/>
        <v/>
      </c>
      <c r="F31" s="190"/>
      <c r="G31" s="324" t="str">
        <f t="shared" si="1"/>
        <v/>
      </c>
      <c r="H31" s="7"/>
      <c r="I31" s="223">
        <v>3800</v>
      </c>
      <c r="J31" s="11" t="s">
        <v>14</v>
      </c>
      <c r="K31" s="224" t="str">
        <f t="shared" si="2"/>
        <v/>
      </c>
      <c r="L31" s="11" t="s">
        <v>15</v>
      </c>
      <c r="M31" s="11" t="s">
        <v>16</v>
      </c>
      <c r="N31" s="283" t="str">
        <f t="shared" si="30"/>
        <v/>
      </c>
      <c r="O31" s="258">
        <f t="shared" si="4"/>
        <v>11600</v>
      </c>
      <c r="P31" s="11" t="s">
        <v>14</v>
      </c>
      <c r="Q31" s="224" t="str">
        <f t="shared" si="5"/>
        <v/>
      </c>
      <c r="R31" s="11" t="s">
        <v>17</v>
      </c>
      <c r="S31" s="11" t="s">
        <v>16</v>
      </c>
      <c r="T31" s="283" t="str">
        <f t="shared" si="31"/>
        <v/>
      </c>
      <c r="U31" s="17"/>
      <c r="V31" s="284" t="str">
        <f t="shared" si="32"/>
        <v/>
      </c>
    </row>
    <row r="32" spans="1:22" ht="30" hidden="1" customHeight="1">
      <c r="A32" s="410"/>
      <c r="B32" s="167" t="str">
        <f>IF($A32="","",VLOOKUP($A32,従事者明細!$A$3:$F$52,2,FALSE))</f>
        <v/>
      </c>
      <c r="C32" s="118" t="str">
        <f>IF($A32="","",VLOOKUP($A32,従事者明細!$A$3:$F$52,3,FALSE))</f>
        <v/>
      </c>
      <c r="D32" s="2"/>
      <c r="E32" s="181" t="str">
        <f t="shared" si="0"/>
        <v/>
      </c>
      <c r="F32" s="190"/>
      <c r="G32" s="324" t="str">
        <f t="shared" si="1"/>
        <v/>
      </c>
      <c r="H32" s="7"/>
      <c r="I32" s="223">
        <v>3800</v>
      </c>
      <c r="J32" s="11" t="s">
        <v>14</v>
      </c>
      <c r="K32" s="224" t="str">
        <f t="shared" si="2"/>
        <v/>
      </c>
      <c r="L32" s="11" t="s">
        <v>15</v>
      </c>
      <c r="M32" s="11" t="s">
        <v>16</v>
      </c>
      <c r="N32" s="283" t="str">
        <f t="shared" ref="N32:N36" si="33">IF(K32="","",SUM(I32*K32))</f>
        <v/>
      </c>
      <c r="O32" s="258">
        <f t="shared" si="4"/>
        <v>11600</v>
      </c>
      <c r="P32" s="11" t="s">
        <v>14</v>
      </c>
      <c r="Q32" s="224" t="str">
        <f t="shared" si="5"/>
        <v/>
      </c>
      <c r="R32" s="11" t="s">
        <v>17</v>
      </c>
      <c r="S32" s="11" t="s">
        <v>16</v>
      </c>
      <c r="T32" s="283" t="str">
        <f t="shared" ref="T32:T36" si="34">IF(Q32="","",SUM(O32*Q32))</f>
        <v/>
      </c>
      <c r="U32" s="17"/>
      <c r="V32" s="284" t="str">
        <f t="shared" ref="V32:V36" si="35">IF(D32="","",SUM(N32+T32+U32))</f>
        <v/>
      </c>
    </row>
    <row r="33" spans="1:23" ht="30" hidden="1" customHeight="1">
      <c r="A33" s="410"/>
      <c r="B33" s="167" t="str">
        <f>IF($A33="","",VLOOKUP($A33,従事者明細!$A$3:$F$52,2,FALSE))</f>
        <v/>
      </c>
      <c r="C33" s="118" t="str">
        <f>IF($A33="","",VLOOKUP($A33,従事者明細!$A$3:$F$52,3,FALSE))</f>
        <v/>
      </c>
      <c r="D33" s="2"/>
      <c r="E33" s="181" t="str">
        <f t="shared" si="0"/>
        <v/>
      </c>
      <c r="F33" s="190"/>
      <c r="G33" s="324" t="str">
        <f t="shared" si="1"/>
        <v/>
      </c>
      <c r="H33" s="7"/>
      <c r="I33" s="223">
        <v>3800</v>
      </c>
      <c r="J33" s="11" t="s">
        <v>14</v>
      </c>
      <c r="K33" s="224" t="str">
        <f t="shared" si="2"/>
        <v/>
      </c>
      <c r="L33" s="11" t="s">
        <v>15</v>
      </c>
      <c r="M33" s="11" t="s">
        <v>16</v>
      </c>
      <c r="N33" s="283" t="str">
        <f t="shared" si="33"/>
        <v/>
      </c>
      <c r="O33" s="258">
        <f t="shared" si="4"/>
        <v>11600</v>
      </c>
      <c r="P33" s="11" t="s">
        <v>14</v>
      </c>
      <c r="Q33" s="224" t="str">
        <f t="shared" si="5"/>
        <v/>
      </c>
      <c r="R33" s="11" t="s">
        <v>17</v>
      </c>
      <c r="S33" s="11" t="s">
        <v>16</v>
      </c>
      <c r="T33" s="283" t="str">
        <f t="shared" si="34"/>
        <v/>
      </c>
      <c r="U33" s="17"/>
      <c r="V33" s="284" t="str">
        <f t="shared" si="35"/>
        <v/>
      </c>
    </row>
    <row r="34" spans="1:23" ht="30" hidden="1" customHeight="1">
      <c r="A34" s="410"/>
      <c r="B34" s="167" t="str">
        <f>IF($A34="","",VLOOKUP($A34,従事者明細!$A$3:$F$52,2,FALSE))</f>
        <v/>
      </c>
      <c r="C34" s="118" t="str">
        <f>IF($A34="","",VLOOKUP($A34,従事者明細!$A$3:$F$52,3,FALSE))</f>
        <v/>
      </c>
      <c r="D34" s="2"/>
      <c r="E34" s="181" t="str">
        <f t="shared" si="0"/>
        <v/>
      </c>
      <c r="F34" s="190"/>
      <c r="G34" s="324" t="str">
        <f t="shared" si="1"/>
        <v/>
      </c>
      <c r="H34" s="7"/>
      <c r="I34" s="223">
        <v>3800</v>
      </c>
      <c r="J34" s="11" t="s">
        <v>14</v>
      </c>
      <c r="K34" s="224" t="str">
        <f t="shared" si="2"/>
        <v/>
      </c>
      <c r="L34" s="11" t="s">
        <v>15</v>
      </c>
      <c r="M34" s="11" t="s">
        <v>16</v>
      </c>
      <c r="N34" s="283" t="str">
        <f t="shared" si="33"/>
        <v/>
      </c>
      <c r="O34" s="258">
        <f t="shared" si="4"/>
        <v>11600</v>
      </c>
      <c r="P34" s="11" t="s">
        <v>14</v>
      </c>
      <c r="Q34" s="224" t="str">
        <f t="shared" si="5"/>
        <v/>
      </c>
      <c r="R34" s="11" t="s">
        <v>17</v>
      </c>
      <c r="S34" s="11" t="s">
        <v>16</v>
      </c>
      <c r="T34" s="283" t="str">
        <f t="shared" si="34"/>
        <v/>
      </c>
      <c r="U34" s="17"/>
      <c r="V34" s="284" t="str">
        <f t="shared" si="35"/>
        <v/>
      </c>
    </row>
    <row r="35" spans="1:23" ht="30" hidden="1" customHeight="1">
      <c r="A35" s="410"/>
      <c r="B35" s="167" t="str">
        <f>IF($A35="","",VLOOKUP($A35,従事者明細!$A$3:$F$52,2,FALSE))</f>
        <v/>
      </c>
      <c r="C35" s="118" t="str">
        <f>IF($A35="","",VLOOKUP($A35,従事者明細!$A$3:$F$52,3,FALSE))</f>
        <v/>
      </c>
      <c r="D35" s="2"/>
      <c r="E35" s="181" t="str">
        <f t="shared" si="0"/>
        <v/>
      </c>
      <c r="F35" s="190"/>
      <c r="G35" s="324" t="str">
        <f t="shared" si="1"/>
        <v/>
      </c>
      <c r="H35" s="7"/>
      <c r="I35" s="223">
        <v>3800</v>
      </c>
      <c r="J35" s="11" t="s">
        <v>14</v>
      </c>
      <c r="K35" s="224" t="str">
        <f t="shared" si="2"/>
        <v/>
      </c>
      <c r="L35" s="11" t="s">
        <v>15</v>
      </c>
      <c r="M35" s="11" t="s">
        <v>16</v>
      </c>
      <c r="N35" s="283" t="str">
        <f t="shared" si="33"/>
        <v/>
      </c>
      <c r="O35" s="258">
        <f t="shared" si="4"/>
        <v>11600</v>
      </c>
      <c r="P35" s="11" t="s">
        <v>14</v>
      </c>
      <c r="Q35" s="224" t="str">
        <f t="shared" si="5"/>
        <v/>
      </c>
      <c r="R35" s="11" t="s">
        <v>17</v>
      </c>
      <c r="S35" s="11" t="s">
        <v>16</v>
      </c>
      <c r="T35" s="283" t="str">
        <f t="shared" si="34"/>
        <v/>
      </c>
      <c r="U35" s="17"/>
      <c r="V35" s="284" t="str">
        <f t="shared" si="35"/>
        <v/>
      </c>
    </row>
    <row r="36" spans="1:23" ht="30" hidden="1" customHeight="1">
      <c r="A36" s="410"/>
      <c r="B36" s="167" t="str">
        <f>IF($A36="","",VLOOKUP($A36,従事者明細!$A$3:$F$52,2,FALSE))</f>
        <v/>
      </c>
      <c r="C36" s="118" t="str">
        <f>IF($A36="","",VLOOKUP($A36,従事者明細!$A$3:$F$52,3,FALSE))</f>
        <v/>
      </c>
      <c r="D36" s="2"/>
      <c r="E36" s="181" t="str">
        <f t="shared" si="0"/>
        <v/>
      </c>
      <c r="F36" s="190"/>
      <c r="G36" s="324" t="str">
        <f t="shared" si="1"/>
        <v/>
      </c>
      <c r="H36" s="7"/>
      <c r="I36" s="223">
        <v>3800</v>
      </c>
      <c r="J36" s="11" t="s">
        <v>14</v>
      </c>
      <c r="K36" s="224" t="str">
        <f t="shared" si="2"/>
        <v/>
      </c>
      <c r="L36" s="11" t="s">
        <v>15</v>
      </c>
      <c r="M36" s="11" t="s">
        <v>16</v>
      </c>
      <c r="N36" s="283" t="str">
        <f t="shared" si="33"/>
        <v/>
      </c>
      <c r="O36" s="258">
        <f t="shared" si="4"/>
        <v>11600</v>
      </c>
      <c r="P36" s="11" t="s">
        <v>14</v>
      </c>
      <c r="Q36" s="224" t="str">
        <f t="shared" si="5"/>
        <v/>
      </c>
      <c r="R36" s="11" t="s">
        <v>17</v>
      </c>
      <c r="S36" s="11" t="s">
        <v>16</v>
      </c>
      <c r="T36" s="283" t="str">
        <f t="shared" si="34"/>
        <v/>
      </c>
      <c r="U36" s="17"/>
      <c r="V36" s="284" t="str">
        <f t="shared" si="35"/>
        <v/>
      </c>
    </row>
    <row r="37" spans="1:23" ht="30" hidden="1" customHeight="1">
      <c r="A37" s="410"/>
      <c r="B37" s="167" t="str">
        <f>IF($A37="","",VLOOKUP($A37,従事者明細!$A$3:$F$52,2,FALSE))</f>
        <v/>
      </c>
      <c r="C37" s="118" t="str">
        <f>IF($A37="","",VLOOKUP($A37,従事者明細!$A$3:$F$52,3,FALSE))</f>
        <v/>
      </c>
      <c r="D37" s="2"/>
      <c r="E37" s="181" t="str">
        <f t="shared" si="0"/>
        <v/>
      </c>
      <c r="F37" s="190"/>
      <c r="G37" s="324" t="str">
        <f t="shared" si="1"/>
        <v/>
      </c>
      <c r="H37" s="7"/>
      <c r="I37" s="223">
        <v>3800</v>
      </c>
      <c r="J37" s="11" t="s">
        <v>14</v>
      </c>
      <c r="K37" s="224" t="str">
        <f t="shared" si="2"/>
        <v/>
      </c>
      <c r="L37" s="11" t="s">
        <v>15</v>
      </c>
      <c r="M37" s="11" t="s">
        <v>16</v>
      </c>
      <c r="N37" s="283" t="str">
        <f t="shared" si="3"/>
        <v/>
      </c>
      <c r="O37" s="258">
        <f t="shared" si="4"/>
        <v>11600</v>
      </c>
      <c r="P37" s="11" t="s">
        <v>14</v>
      </c>
      <c r="Q37" s="224" t="str">
        <f t="shared" si="5"/>
        <v/>
      </c>
      <c r="R37" s="11" t="s">
        <v>17</v>
      </c>
      <c r="S37" s="11" t="s">
        <v>16</v>
      </c>
      <c r="T37" s="283" t="str">
        <f t="shared" si="6"/>
        <v/>
      </c>
      <c r="U37" s="17"/>
      <c r="V37" s="284" t="str">
        <f t="shared" si="7"/>
        <v/>
      </c>
    </row>
    <row r="38" spans="1:23" ht="30" hidden="1" customHeight="1">
      <c r="A38" s="410"/>
      <c r="B38" s="167" t="str">
        <f>IF($A38="","",VLOOKUP($A38,従事者明細!$A$3:$F$52,2,FALSE))</f>
        <v/>
      </c>
      <c r="C38" s="118" t="str">
        <f>IF($A38="","",VLOOKUP($A38,従事者明細!$A$3:$F$52,3,FALSE))</f>
        <v/>
      </c>
      <c r="D38" s="2"/>
      <c r="E38" s="181" t="str">
        <f t="shared" si="0"/>
        <v/>
      </c>
      <c r="F38" s="190"/>
      <c r="G38" s="324" t="str">
        <f t="shared" si="1"/>
        <v/>
      </c>
      <c r="H38" s="7"/>
      <c r="I38" s="223">
        <v>3800</v>
      </c>
      <c r="J38" s="11" t="s">
        <v>14</v>
      </c>
      <c r="K38" s="224" t="str">
        <f t="shared" si="2"/>
        <v/>
      </c>
      <c r="L38" s="11" t="s">
        <v>15</v>
      </c>
      <c r="M38" s="11" t="s">
        <v>16</v>
      </c>
      <c r="N38" s="283" t="str">
        <f t="shared" si="3"/>
        <v/>
      </c>
      <c r="O38" s="258">
        <f t="shared" si="4"/>
        <v>11600</v>
      </c>
      <c r="P38" s="11" t="s">
        <v>14</v>
      </c>
      <c r="Q38" s="224" t="str">
        <f t="shared" si="5"/>
        <v/>
      </c>
      <c r="R38" s="11" t="s">
        <v>17</v>
      </c>
      <c r="S38" s="11" t="s">
        <v>16</v>
      </c>
      <c r="T38" s="283" t="str">
        <f t="shared" si="6"/>
        <v/>
      </c>
      <c r="U38" s="17"/>
      <c r="V38" s="284" t="str">
        <f t="shared" si="7"/>
        <v/>
      </c>
    </row>
    <row r="39" spans="1:23" ht="30" hidden="1" customHeight="1">
      <c r="A39" s="410"/>
      <c r="B39" s="167" t="str">
        <f>IF($A39="","",VLOOKUP($A39,従事者明細!$A$3:$F$52,2,FALSE))</f>
        <v/>
      </c>
      <c r="C39" s="118" t="str">
        <f>IF($A39="","",VLOOKUP($A39,従事者明細!$A$3:$F$52,3,FALSE))</f>
        <v/>
      </c>
      <c r="D39" s="2"/>
      <c r="E39" s="181" t="str">
        <f t="shared" si="0"/>
        <v/>
      </c>
      <c r="F39" s="190"/>
      <c r="G39" s="324" t="str">
        <f t="shared" si="1"/>
        <v/>
      </c>
      <c r="H39" s="10"/>
      <c r="I39" s="223">
        <v>3800</v>
      </c>
      <c r="J39" s="11" t="s">
        <v>14</v>
      </c>
      <c r="K39" s="224" t="str">
        <f t="shared" si="2"/>
        <v/>
      </c>
      <c r="L39" s="11" t="s">
        <v>15</v>
      </c>
      <c r="M39" s="11" t="s">
        <v>16</v>
      </c>
      <c r="N39" s="283" t="str">
        <f t="shared" si="3"/>
        <v/>
      </c>
      <c r="O39" s="258">
        <f t="shared" si="4"/>
        <v>11600</v>
      </c>
      <c r="P39" s="11" t="s">
        <v>14</v>
      </c>
      <c r="Q39" s="224" t="str">
        <f t="shared" si="5"/>
        <v/>
      </c>
      <c r="R39" s="11" t="s">
        <v>17</v>
      </c>
      <c r="S39" s="11" t="s">
        <v>16</v>
      </c>
      <c r="T39" s="283" t="str">
        <f t="shared" si="6"/>
        <v/>
      </c>
      <c r="U39" s="17"/>
      <c r="V39" s="284" t="str">
        <f t="shared" si="7"/>
        <v/>
      </c>
    </row>
    <row r="40" spans="1:23" ht="30" hidden="1" customHeight="1">
      <c r="A40" s="410"/>
      <c r="B40" s="167" t="str">
        <f>IF($A40="","",VLOOKUP($A40,従事者明細!$A$3:$F$52,2,FALSE))</f>
        <v/>
      </c>
      <c r="C40" s="118" t="str">
        <f>IF($A40="","",VLOOKUP($A40,従事者明細!$A$3:$F$52,3,FALSE))</f>
        <v/>
      </c>
      <c r="D40" s="2"/>
      <c r="E40" s="181" t="str">
        <f t="shared" si="0"/>
        <v/>
      </c>
      <c r="F40" s="190"/>
      <c r="G40" s="324" t="str">
        <f t="shared" si="1"/>
        <v/>
      </c>
      <c r="H40" s="7"/>
      <c r="I40" s="223">
        <v>3800</v>
      </c>
      <c r="J40" s="11" t="s">
        <v>14</v>
      </c>
      <c r="K40" s="224" t="str">
        <f t="shared" si="2"/>
        <v/>
      </c>
      <c r="L40" s="11" t="s">
        <v>15</v>
      </c>
      <c r="M40" s="11" t="s">
        <v>16</v>
      </c>
      <c r="N40" s="283" t="str">
        <f t="shared" si="3"/>
        <v/>
      </c>
      <c r="O40" s="258">
        <f t="shared" si="4"/>
        <v>11600</v>
      </c>
      <c r="P40" s="11" t="s">
        <v>14</v>
      </c>
      <c r="Q40" s="224" t="str">
        <f t="shared" si="5"/>
        <v/>
      </c>
      <c r="R40" s="11" t="s">
        <v>17</v>
      </c>
      <c r="S40" s="11" t="s">
        <v>16</v>
      </c>
      <c r="T40" s="283" t="str">
        <f t="shared" si="6"/>
        <v/>
      </c>
      <c r="U40" s="17"/>
      <c r="V40" s="284" t="str">
        <f t="shared" si="7"/>
        <v/>
      </c>
    </row>
    <row r="41" spans="1:23" ht="30" customHeight="1" thickBot="1">
      <c r="A41" s="410"/>
      <c r="B41" s="167" t="str">
        <f>IF($A41="","",VLOOKUP($A41,従事者明細!$A$3:$F$52,2,FALSE))</f>
        <v/>
      </c>
      <c r="C41" s="118" t="str">
        <f>IF($A41="","",VLOOKUP($A41,従事者明細!$A$3:$F$52,3,FALSE))</f>
        <v/>
      </c>
      <c r="D41" s="48"/>
      <c r="E41" s="181" t="str">
        <f t="shared" si="0"/>
        <v/>
      </c>
      <c r="F41" s="190"/>
      <c r="G41" s="324" t="str">
        <f t="shared" si="1"/>
        <v/>
      </c>
      <c r="H41" s="7"/>
      <c r="I41" s="223">
        <v>3800</v>
      </c>
      <c r="J41" s="11" t="s">
        <v>14</v>
      </c>
      <c r="K41" s="224" t="str">
        <f t="shared" si="2"/>
        <v/>
      </c>
      <c r="L41" s="11" t="s">
        <v>15</v>
      </c>
      <c r="M41" s="11" t="s">
        <v>16</v>
      </c>
      <c r="N41" s="283" t="str">
        <f t="shared" si="3"/>
        <v/>
      </c>
      <c r="O41" s="258">
        <f t="shared" si="4"/>
        <v>11600</v>
      </c>
      <c r="P41" s="11" t="s">
        <v>14</v>
      </c>
      <c r="Q41" s="224" t="str">
        <f t="shared" si="5"/>
        <v/>
      </c>
      <c r="R41" s="11" t="s">
        <v>17</v>
      </c>
      <c r="S41" s="11" t="s">
        <v>16</v>
      </c>
      <c r="T41" s="283" t="str">
        <f t="shared" si="6"/>
        <v/>
      </c>
      <c r="U41" s="17"/>
      <c r="V41" s="284" t="str">
        <f t="shared" si="7"/>
        <v/>
      </c>
    </row>
    <row r="42" spans="1:23" ht="30" customHeight="1" thickBot="1">
      <c r="B42" s="7"/>
      <c r="C42" s="7"/>
      <c r="D42" s="49" t="s">
        <v>21</v>
      </c>
      <c r="E42" s="15">
        <f>SUM(E9:E41)</f>
        <v>1997457</v>
      </c>
      <c r="F42" s="54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0" t="s">
        <v>21</v>
      </c>
      <c r="V42" s="15">
        <f>SUM(V9:V41)</f>
        <v>3216770</v>
      </c>
    </row>
    <row r="43" spans="1:23" ht="30" customHeight="1" thickBot="1">
      <c r="B43" s="7"/>
      <c r="C43" s="78"/>
      <c r="D43" s="83" t="s">
        <v>93</v>
      </c>
      <c r="E43" s="367">
        <f>ROUNDDOWN(E42,-3)</f>
        <v>1997000</v>
      </c>
      <c r="F43" s="51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3" t="s">
        <v>93</v>
      </c>
      <c r="V43" s="367">
        <f>ROUNDDOWN(V42,-3)</f>
        <v>3216000</v>
      </c>
    </row>
    <row r="44" spans="1:23" ht="30" customHeight="1">
      <c r="B44" s="7"/>
      <c r="C44" s="7"/>
      <c r="D44" s="335"/>
      <c r="E44" s="54"/>
      <c r="F44" s="51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0"/>
    </row>
    <row r="45" spans="1:23" ht="30" customHeight="1">
      <c r="D45" s="180" t="s">
        <v>138</v>
      </c>
      <c r="E45" s="465" t="s">
        <v>199</v>
      </c>
      <c r="F45" s="465" t="s">
        <v>139</v>
      </c>
      <c r="G45" s="539" t="s">
        <v>150</v>
      </c>
      <c r="H45" s="540"/>
      <c r="I45" s="465" t="s">
        <v>231</v>
      </c>
      <c r="J45" s="538" t="s">
        <v>151</v>
      </c>
      <c r="K45" s="538"/>
      <c r="L45" s="538" t="s">
        <v>152</v>
      </c>
      <c r="M45" s="538"/>
      <c r="N45" s="179" t="s">
        <v>232</v>
      </c>
      <c r="O45" s="180" t="s">
        <v>153</v>
      </c>
      <c r="P45" s="539" t="s">
        <v>204</v>
      </c>
      <c r="Q45" s="545"/>
      <c r="R45" s="545"/>
      <c r="S45" s="545"/>
      <c r="T45" s="545"/>
      <c r="U45" s="545"/>
      <c r="V45" s="540"/>
      <c r="W45" s="273" t="s">
        <v>175</v>
      </c>
    </row>
    <row r="46" spans="1:23" ht="24" customHeight="1">
      <c r="B46" s="530"/>
      <c r="C46" s="535" t="s">
        <v>22</v>
      </c>
      <c r="D46" s="1">
        <v>1</v>
      </c>
      <c r="E46" s="182">
        <f>SUM(G46:O46)</f>
        <v>108918</v>
      </c>
      <c r="F46" s="323" t="s">
        <v>319</v>
      </c>
      <c r="G46" s="528">
        <v>90000</v>
      </c>
      <c r="H46" s="529"/>
      <c r="I46" s="177">
        <v>2418</v>
      </c>
      <c r="J46" s="546">
        <v>3000</v>
      </c>
      <c r="K46" s="546"/>
      <c r="L46" s="544">
        <v>9000</v>
      </c>
      <c r="M46" s="544"/>
      <c r="N46" s="178">
        <f>ROUND(G46*0.05,0)</f>
        <v>4500</v>
      </c>
      <c r="O46" s="176"/>
      <c r="P46" s="541" t="s">
        <v>322</v>
      </c>
      <c r="Q46" s="542"/>
      <c r="R46" s="542"/>
      <c r="S46" s="542"/>
      <c r="T46" s="542"/>
      <c r="U46" s="542"/>
      <c r="V46" s="543"/>
      <c r="W46" s="169"/>
    </row>
    <row r="47" spans="1:23" ht="24" customHeight="1">
      <c r="B47" s="530"/>
      <c r="C47" s="536"/>
      <c r="D47" s="1">
        <v>2</v>
      </c>
      <c r="E47" s="182">
        <f t="shared" ref="E47:E51" si="36">SUM(G47:O47)</f>
        <v>224815</v>
      </c>
      <c r="F47" s="323" t="s">
        <v>320</v>
      </c>
      <c r="G47" s="528">
        <v>200000</v>
      </c>
      <c r="H47" s="529"/>
      <c r="I47" s="177">
        <v>2815</v>
      </c>
      <c r="J47" s="546">
        <v>3000</v>
      </c>
      <c r="K47" s="546"/>
      <c r="L47" s="544">
        <v>9000</v>
      </c>
      <c r="M47" s="544"/>
      <c r="N47" s="178">
        <f t="shared" ref="N47:N51" si="37">ROUND(G47*0.05,0)</f>
        <v>10000</v>
      </c>
      <c r="O47" s="176"/>
      <c r="P47" s="541" t="s">
        <v>323</v>
      </c>
      <c r="Q47" s="542"/>
      <c r="R47" s="542"/>
      <c r="S47" s="542"/>
      <c r="T47" s="542"/>
      <c r="U47" s="542"/>
      <c r="V47" s="543"/>
      <c r="W47" s="169"/>
    </row>
    <row r="48" spans="1:23" ht="24" customHeight="1">
      <c r="B48" s="530"/>
      <c r="C48" s="536"/>
      <c r="D48" s="1">
        <v>3</v>
      </c>
      <c r="E48" s="182">
        <f t="shared" ref="E48" si="38">SUM(G48:O48)</f>
        <v>135565</v>
      </c>
      <c r="F48" s="323" t="s">
        <v>319</v>
      </c>
      <c r="G48" s="528">
        <v>115000</v>
      </c>
      <c r="H48" s="529"/>
      <c r="I48" s="177">
        <v>2815</v>
      </c>
      <c r="J48" s="546">
        <v>3000</v>
      </c>
      <c r="K48" s="546"/>
      <c r="L48" s="544">
        <v>9000</v>
      </c>
      <c r="M48" s="544"/>
      <c r="N48" s="178">
        <f t="shared" si="37"/>
        <v>5750</v>
      </c>
      <c r="O48" s="176"/>
      <c r="P48" s="541" t="s">
        <v>323</v>
      </c>
      <c r="Q48" s="542"/>
      <c r="R48" s="542"/>
      <c r="S48" s="542"/>
      <c r="T48" s="542"/>
      <c r="U48" s="542"/>
      <c r="V48" s="543"/>
      <c r="W48" s="169"/>
    </row>
    <row r="49" spans="2:23" ht="24" customHeight="1">
      <c r="B49" s="530"/>
      <c r="C49" s="536"/>
      <c r="D49" s="1">
        <v>4</v>
      </c>
      <c r="E49" s="182">
        <f t="shared" si="36"/>
        <v>129973</v>
      </c>
      <c r="F49" s="323" t="s">
        <v>319</v>
      </c>
      <c r="G49" s="528">
        <v>110000</v>
      </c>
      <c r="H49" s="529"/>
      <c r="I49" s="177">
        <v>2473</v>
      </c>
      <c r="J49" s="546">
        <v>3000</v>
      </c>
      <c r="K49" s="546"/>
      <c r="L49" s="544">
        <v>9000</v>
      </c>
      <c r="M49" s="544"/>
      <c r="N49" s="178">
        <f t="shared" si="37"/>
        <v>5500</v>
      </c>
      <c r="O49" s="176"/>
      <c r="P49" s="541" t="s">
        <v>324</v>
      </c>
      <c r="Q49" s="542"/>
      <c r="R49" s="542"/>
      <c r="S49" s="542"/>
      <c r="T49" s="542"/>
      <c r="U49" s="542"/>
      <c r="V49" s="543"/>
      <c r="W49" s="169"/>
    </row>
    <row r="50" spans="2:23" ht="24" customHeight="1">
      <c r="B50" s="530"/>
      <c r="C50" s="536"/>
      <c r="D50" s="1">
        <v>5</v>
      </c>
      <c r="E50" s="182">
        <f t="shared" si="36"/>
        <v>140473</v>
      </c>
      <c r="F50" s="323" t="s">
        <v>319</v>
      </c>
      <c r="G50" s="528">
        <v>120000</v>
      </c>
      <c r="H50" s="529"/>
      <c r="I50" s="177">
        <v>2473</v>
      </c>
      <c r="J50" s="546">
        <v>3000</v>
      </c>
      <c r="K50" s="546"/>
      <c r="L50" s="544">
        <v>9000</v>
      </c>
      <c r="M50" s="544"/>
      <c r="N50" s="178">
        <f t="shared" si="37"/>
        <v>6000</v>
      </c>
      <c r="O50" s="176"/>
      <c r="P50" s="541" t="s">
        <v>325</v>
      </c>
      <c r="Q50" s="542"/>
      <c r="R50" s="542"/>
      <c r="S50" s="542"/>
      <c r="T50" s="542"/>
      <c r="U50" s="542"/>
      <c r="V50" s="543"/>
      <c r="W50" s="169"/>
    </row>
    <row r="51" spans="2:23" ht="24" customHeight="1">
      <c r="B51" s="530"/>
      <c r="C51" s="537"/>
      <c r="D51" s="1">
        <v>6</v>
      </c>
      <c r="E51" s="182">
        <f t="shared" si="36"/>
        <v>55650</v>
      </c>
      <c r="F51" s="323" t="s">
        <v>321</v>
      </c>
      <c r="G51" s="528">
        <v>53000</v>
      </c>
      <c r="H51" s="529"/>
      <c r="I51" s="177"/>
      <c r="J51" s="546"/>
      <c r="K51" s="546"/>
      <c r="L51" s="544"/>
      <c r="M51" s="544"/>
      <c r="N51" s="178">
        <f t="shared" si="37"/>
        <v>2650</v>
      </c>
      <c r="O51" s="176"/>
      <c r="P51" s="541" t="s">
        <v>326</v>
      </c>
      <c r="Q51" s="542"/>
      <c r="R51" s="542"/>
      <c r="S51" s="542"/>
      <c r="T51" s="542"/>
      <c r="U51" s="542"/>
      <c r="V51" s="543"/>
      <c r="W51" s="169"/>
    </row>
    <row r="52" spans="2:23" ht="17.100000000000001" customHeight="1"/>
  </sheetData>
  <mergeCells count="35"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  <mergeCell ref="L51:M51"/>
    <mergeCell ref="P45:V45"/>
    <mergeCell ref="P47:V47"/>
    <mergeCell ref="P49:V49"/>
    <mergeCell ref="P50:V50"/>
    <mergeCell ref="P51:V51"/>
    <mergeCell ref="L48:M48"/>
    <mergeCell ref="P48:V48"/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</mergeCells>
  <phoneticPr fontId="3"/>
  <dataValidations count="6">
    <dataValidation type="list" allowBlank="1" showInputMessage="1" showErrorMessage="1" sqref="F46:F51">
      <formula1>$X$9:$X$11</formula1>
    </dataValidation>
    <dataValidation type="whole" operator="notEqual" allowBlank="1" showInputMessage="1" showErrorMessage="1" sqref="Q9:Q41 K9:K41 E9:E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4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I22" sqref="I22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67" t="s">
        <v>53</v>
      </c>
      <c r="B2" s="67" t="s">
        <v>20</v>
      </c>
      <c r="C2" s="285"/>
      <c r="D2" s="286"/>
      <c r="E2" s="285"/>
      <c r="F2" s="286"/>
      <c r="G2" s="286"/>
    </row>
    <row r="3" spans="1:7" s="16" customFormat="1" ht="20.100000000000001" customHeight="1" thickBot="1">
      <c r="A3" s="59" t="s">
        <v>49</v>
      </c>
      <c r="B3" s="64" t="s">
        <v>69</v>
      </c>
      <c r="C3" s="285"/>
      <c r="D3" s="287"/>
      <c r="E3" s="123">
        <f>E35</f>
        <v>1406000</v>
      </c>
      <c r="F3" s="286" t="s">
        <v>1</v>
      </c>
      <c r="G3" s="286"/>
    </row>
    <row r="4" spans="1:7" s="16" customFormat="1" ht="20.100000000000001" customHeight="1" thickTop="1">
      <c r="A4" s="286"/>
      <c r="B4" s="288"/>
      <c r="C4" s="285"/>
      <c r="D4" s="286"/>
      <c r="E4" s="285"/>
      <c r="F4" s="286"/>
      <c r="G4" s="286"/>
    </row>
    <row r="5" spans="1:7" s="16" customFormat="1" ht="24.95" customHeight="1">
      <c r="A5" s="289"/>
      <c r="B5" s="290" t="s">
        <v>23</v>
      </c>
      <c r="C5" s="291" t="s">
        <v>28</v>
      </c>
      <c r="D5" s="290" t="s">
        <v>24</v>
      </c>
      <c r="E5" s="291" t="s">
        <v>25</v>
      </c>
      <c r="F5" s="290" t="s">
        <v>26</v>
      </c>
      <c r="G5" s="257" t="s">
        <v>175</v>
      </c>
    </row>
    <row r="6" spans="1:7" s="16" customFormat="1" ht="24.95" customHeight="1">
      <c r="A6" s="554" t="s">
        <v>258</v>
      </c>
      <c r="B6" s="292" t="s">
        <v>327</v>
      </c>
      <c r="C6" s="293">
        <v>5000</v>
      </c>
      <c r="D6" s="293">
        <v>45</v>
      </c>
      <c r="E6" s="294">
        <f>C6*D6</f>
        <v>225000</v>
      </c>
      <c r="F6" s="292" t="s">
        <v>328</v>
      </c>
      <c r="G6" s="289"/>
    </row>
    <row r="7" spans="1:7" s="16" customFormat="1" ht="24.95" customHeight="1">
      <c r="A7" s="555"/>
      <c r="B7" s="292"/>
      <c r="C7" s="293"/>
      <c r="D7" s="293"/>
      <c r="E7" s="294">
        <f t="shared" ref="E7:E32" si="0">C7*D7</f>
        <v>0</v>
      </c>
      <c r="F7" s="292" t="s">
        <v>329</v>
      </c>
      <c r="G7" s="289"/>
    </row>
    <row r="8" spans="1:7" s="16" customFormat="1" ht="24.95" customHeight="1">
      <c r="A8" s="555"/>
      <c r="B8" s="292"/>
      <c r="C8" s="293"/>
      <c r="D8" s="293"/>
      <c r="E8" s="294">
        <f t="shared" si="0"/>
        <v>0</v>
      </c>
      <c r="F8" s="292"/>
      <c r="G8" s="289"/>
    </row>
    <row r="9" spans="1:7" s="16" customFormat="1" ht="24.95" customHeight="1">
      <c r="A9" s="555"/>
      <c r="B9" s="292"/>
      <c r="C9" s="293"/>
      <c r="D9" s="293"/>
      <c r="E9" s="294">
        <f t="shared" si="0"/>
        <v>0</v>
      </c>
      <c r="F9" s="292"/>
      <c r="G9" s="289"/>
    </row>
    <row r="10" spans="1:7" s="16" customFormat="1" ht="24.95" customHeight="1">
      <c r="A10" s="555"/>
      <c r="B10" s="292"/>
      <c r="C10" s="293"/>
      <c r="D10" s="293"/>
      <c r="E10" s="294">
        <f t="shared" si="0"/>
        <v>0</v>
      </c>
      <c r="F10" s="292"/>
      <c r="G10" s="289"/>
    </row>
    <row r="11" spans="1:7" s="16" customFormat="1" ht="24.95" customHeight="1">
      <c r="A11" s="555"/>
      <c r="B11" s="295"/>
      <c r="C11" s="296"/>
      <c r="D11" s="296"/>
      <c r="E11" s="325">
        <f t="shared" si="0"/>
        <v>0</v>
      </c>
      <c r="F11" s="292"/>
      <c r="G11" s="289"/>
    </row>
    <row r="12" spans="1:7" s="16" customFormat="1" ht="24.95" customHeight="1" thickBot="1">
      <c r="A12" s="556"/>
      <c r="B12" s="557" t="s">
        <v>27</v>
      </c>
      <c r="C12" s="557"/>
      <c r="D12" s="557"/>
      <c r="E12" s="327">
        <f>SUM(E6:E11)</f>
        <v>225000</v>
      </c>
      <c r="F12" s="328"/>
      <c r="G12" s="289"/>
    </row>
    <row r="13" spans="1:7" s="16" customFormat="1" ht="24.95" customHeight="1">
      <c r="A13" s="550" t="s">
        <v>259</v>
      </c>
      <c r="B13" s="368" t="s">
        <v>330</v>
      </c>
      <c r="C13" s="330">
        <v>6000</v>
      </c>
      <c r="D13" s="330">
        <v>30</v>
      </c>
      <c r="E13" s="331">
        <f t="shared" si="0"/>
        <v>180000</v>
      </c>
      <c r="F13" s="292" t="s">
        <v>332</v>
      </c>
      <c r="G13" s="289"/>
    </row>
    <row r="14" spans="1:7" s="16" customFormat="1" ht="24.95" customHeight="1">
      <c r="A14" s="551"/>
      <c r="B14" s="369" t="s">
        <v>331</v>
      </c>
      <c r="C14" s="293">
        <v>15</v>
      </c>
      <c r="D14" s="293">
        <v>100</v>
      </c>
      <c r="E14" s="294">
        <f t="shared" si="0"/>
        <v>1500</v>
      </c>
      <c r="F14" s="292" t="s">
        <v>333</v>
      </c>
      <c r="G14" s="289"/>
    </row>
    <row r="15" spans="1:7" s="16" customFormat="1" ht="24.95" customHeight="1">
      <c r="A15" s="551"/>
      <c r="B15" s="369"/>
      <c r="C15" s="293"/>
      <c r="D15" s="293"/>
      <c r="E15" s="294">
        <f t="shared" si="0"/>
        <v>0</v>
      </c>
      <c r="F15" s="292"/>
      <c r="G15" s="289"/>
    </row>
    <row r="16" spans="1:7" s="16" customFormat="1" ht="24.95" customHeight="1">
      <c r="A16" s="551"/>
      <c r="B16" s="369"/>
      <c r="C16" s="365"/>
      <c r="D16" s="293"/>
      <c r="E16" s="294">
        <f t="shared" si="0"/>
        <v>0</v>
      </c>
      <c r="F16" s="292"/>
      <c r="G16" s="289"/>
    </row>
    <row r="17" spans="1:7" s="16" customFormat="1" ht="24.95" customHeight="1">
      <c r="A17" s="551"/>
      <c r="B17" s="369"/>
      <c r="C17" s="293"/>
      <c r="D17" s="293"/>
      <c r="E17" s="294">
        <f t="shared" si="0"/>
        <v>0</v>
      </c>
      <c r="F17" s="292"/>
      <c r="G17" s="289"/>
    </row>
    <row r="18" spans="1:7" s="16" customFormat="1" ht="24.95" customHeight="1">
      <c r="A18" s="551"/>
      <c r="B18" s="370"/>
      <c r="C18" s="296"/>
      <c r="D18" s="296"/>
      <c r="E18" s="325">
        <f t="shared" si="0"/>
        <v>0</v>
      </c>
      <c r="F18" s="292"/>
      <c r="G18" s="289"/>
    </row>
    <row r="19" spans="1:7" s="16" customFormat="1" ht="24.95" customHeight="1" thickBot="1">
      <c r="A19" s="552"/>
      <c r="B19" s="558" t="s">
        <v>27</v>
      </c>
      <c r="C19" s="557"/>
      <c r="D19" s="557"/>
      <c r="E19" s="327">
        <f>SUM(E13:E18)</f>
        <v>181500</v>
      </c>
      <c r="F19" s="328"/>
      <c r="G19" s="289"/>
    </row>
    <row r="20" spans="1:7" s="16" customFormat="1" ht="24.95" customHeight="1">
      <c r="A20" s="550" t="s">
        <v>260</v>
      </c>
      <c r="B20" s="329" t="s">
        <v>334</v>
      </c>
      <c r="C20" s="330">
        <v>50000</v>
      </c>
      <c r="D20" s="330">
        <v>10</v>
      </c>
      <c r="E20" s="331">
        <f t="shared" si="0"/>
        <v>500000</v>
      </c>
      <c r="F20" s="292" t="s">
        <v>335</v>
      </c>
      <c r="G20" s="289"/>
    </row>
    <row r="21" spans="1:7" s="16" customFormat="1" ht="24.95" customHeight="1">
      <c r="A21" s="551"/>
      <c r="B21" s="292"/>
      <c r="C21" s="293"/>
      <c r="D21" s="293"/>
      <c r="E21" s="294">
        <f t="shared" si="0"/>
        <v>0</v>
      </c>
      <c r="F21" s="292" t="s">
        <v>336</v>
      </c>
      <c r="G21" s="289"/>
    </row>
    <row r="22" spans="1:7" s="16" customFormat="1" ht="24.95" customHeight="1">
      <c r="A22" s="551"/>
      <c r="B22" s="292"/>
      <c r="C22" s="293"/>
      <c r="D22" s="293"/>
      <c r="E22" s="294">
        <f t="shared" si="0"/>
        <v>0</v>
      </c>
      <c r="F22" s="292"/>
      <c r="G22" s="289"/>
    </row>
    <row r="23" spans="1:7" s="16" customFormat="1" ht="24.95" customHeight="1">
      <c r="A23" s="551"/>
      <c r="B23" s="292"/>
      <c r="C23" s="293"/>
      <c r="D23" s="293"/>
      <c r="E23" s="294">
        <f t="shared" si="0"/>
        <v>0</v>
      </c>
      <c r="F23" s="292"/>
      <c r="G23" s="289"/>
    </row>
    <row r="24" spans="1:7" s="16" customFormat="1" ht="24.95" customHeight="1">
      <c r="A24" s="551"/>
      <c r="B24" s="295"/>
      <c r="C24" s="296"/>
      <c r="D24" s="296"/>
      <c r="E24" s="325">
        <f t="shared" si="0"/>
        <v>0</v>
      </c>
      <c r="F24" s="292"/>
      <c r="G24" s="289"/>
    </row>
    <row r="25" spans="1:7" s="16" customFormat="1" ht="24.95" customHeight="1" thickBot="1">
      <c r="A25" s="552"/>
      <c r="B25" s="557" t="s">
        <v>27</v>
      </c>
      <c r="C25" s="557"/>
      <c r="D25" s="557"/>
      <c r="E25" s="327">
        <f>SUM(E20:E24)</f>
        <v>500000</v>
      </c>
      <c r="F25" s="328"/>
      <c r="G25" s="289"/>
    </row>
    <row r="26" spans="1:7" s="16" customFormat="1" ht="24.95" customHeight="1">
      <c r="A26" s="550" t="s">
        <v>261</v>
      </c>
      <c r="B26" s="353" t="s">
        <v>337</v>
      </c>
      <c r="C26" s="298">
        <v>500000</v>
      </c>
      <c r="D26" s="298">
        <v>1</v>
      </c>
      <c r="E26" s="326">
        <f t="shared" si="0"/>
        <v>500000</v>
      </c>
      <c r="F26" s="353" t="s">
        <v>338</v>
      </c>
      <c r="G26" s="289"/>
    </row>
    <row r="27" spans="1:7" s="16" customFormat="1" ht="24.95" customHeight="1">
      <c r="A27" s="551"/>
      <c r="B27" s="292"/>
      <c r="C27" s="293"/>
      <c r="D27" s="293"/>
      <c r="E27" s="294">
        <f t="shared" si="0"/>
        <v>0</v>
      </c>
      <c r="F27" s="292"/>
      <c r="G27" s="289"/>
    </row>
    <row r="28" spans="1:7" s="16" customFormat="1" ht="24.95" customHeight="1">
      <c r="A28" s="551"/>
      <c r="B28" s="292"/>
      <c r="C28" s="293"/>
      <c r="D28" s="293"/>
      <c r="E28" s="294">
        <f t="shared" si="0"/>
        <v>0</v>
      </c>
      <c r="F28" s="292"/>
      <c r="G28" s="289"/>
    </row>
    <row r="29" spans="1:7" s="16" customFormat="1" ht="24.95" customHeight="1">
      <c r="A29" s="551"/>
      <c r="B29" s="292"/>
      <c r="C29" s="293"/>
      <c r="D29" s="293"/>
      <c r="E29" s="294">
        <f t="shared" si="0"/>
        <v>0</v>
      </c>
      <c r="F29" s="292"/>
      <c r="G29" s="289"/>
    </row>
    <row r="30" spans="1:7" s="16" customFormat="1" ht="24.95" customHeight="1">
      <c r="A30" s="551"/>
      <c r="B30" s="292"/>
      <c r="C30" s="293"/>
      <c r="D30" s="293"/>
      <c r="E30" s="294">
        <f t="shared" si="0"/>
        <v>0</v>
      </c>
      <c r="F30" s="292"/>
      <c r="G30" s="289"/>
    </row>
    <row r="31" spans="1:7" s="16" customFormat="1" ht="24.95" customHeight="1">
      <c r="A31" s="551"/>
      <c r="B31" s="292"/>
      <c r="C31" s="293"/>
      <c r="D31" s="293"/>
      <c r="E31" s="294">
        <f t="shared" si="0"/>
        <v>0</v>
      </c>
      <c r="F31" s="292"/>
      <c r="G31" s="289"/>
    </row>
    <row r="32" spans="1:7" s="16" customFormat="1" ht="24.95" customHeight="1">
      <c r="A32" s="551"/>
      <c r="B32" s="295"/>
      <c r="C32" s="296"/>
      <c r="D32" s="296"/>
      <c r="E32" s="325">
        <f t="shared" si="0"/>
        <v>0</v>
      </c>
      <c r="F32" s="292"/>
      <c r="G32" s="289"/>
    </row>
    <row r="33" spans="1:7" s="16" customFormat="1" ht="24.95" customHeight="1" thickBot="1">
      <c r="A33" s="552"/>
      <c r="B33" s="553" t="s">
        <v>27</v>
      </c>
      <c r="C33" s="553"/>
      <c r="D33" s="553"/>
      <c r="E33" s="325">
        <f>SUM(E26:E32)</f>
        <v>500000</v>
      </c>
      <c r="F33" s="333"/>
      <c r="G33" s="289"/>
    </row>
    <row r="34" spans="1:7" s="16" customFormat="1" ht="24.95" customHeight="1" thickBot="1">
      <c r="A34" s="547" t="s">
        <v>257</v>
      </c>
      <c r="B34" s="548"/>
      <c r="C34" s="548"/>
      <c r="D34" s="549"/>
      <c r="E34" s="297">
        <f>E12+E19+E25+E33</f>
        <v>1406500</v>
      </c>
      <c r="F34" s="332"/>
      <c r="G34" s="287"/>
    </row>
    <row r="35" spans="1:7" s="16" customFormat="1" ht="31.5" customHeight="1" thickBot="1">
      <c r="A35" s="286"/>
      <c r="B35" s="286"/>
      <c r="C35" s="285"/>
      <c r="D35" s="83" t="s">
        <v>93</v>
      </c>
      <c r="E35" s="367">
        <f>ROUNDDOWN(E34,-3)</f>
        <v>1406000</v>
      </c>
      <c r="F35" s="286"/>
      <c r="G35" s="287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A2" sqref="A2:H30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1"/>
    </row>
    <row r="2" spans="1:11">
      <c r="A2" s="67" t="s">
        <v>158</v>
      </c>
      <c r="B2" s="67" t="s">
        <v>3</v>
      </c>
      <c r="C2" s="299"/>
      <c r="D2" s="286"/>
      <c r="E2" s="286"/>
      <c r="F2" s="286"/>
      <c r="G2" s="299"/>
      <c r="H2" s="286"/>
    </row>
    <row r="3" spans="1:11">
      <c r="A3" s="59"/>
      <c r="B3" s="6"/>
      <c r="C3" s="299"/>
      <c r="D3" s="286"/>
      <c r="E3" s="287"/>
      <c r="F3" s="286"/>
      <c r="G3" s="299"/>
      <c r="H3" s="286"/>
    </row>
    <row r="4" spans="1:11" ht="27" customHeight="1" thickBot="1">
      <c r="A4" s="457" t="s">
        <v>382</v>
      </c>
      <c r="B4" s="78" t="s">
        <v>159</v>
      </c>
      <c r="C4" s="92"/>
      <c r="D4" s="93"/>
      <c r="E4" s="559">
        <f>E6+E16</f>
        <v>988000</v>
      </c>
      <c r="F4" s="559"/>
      <c r="G4" s="78" t="s">
        <v>1</v>
      </c>
      <c r="H4" s="78"/>
      <c r="K4" s="3"/>
    </row>
    <row r="5" spans="1:11" ht="15.75" thickTop="1" thickBot="1">
      <c r="A5" s="192"/>
      <c r="B5" s="78"/>
      <c r="C5" s="92"/>
      <c r="D5" s="93"/>
      <c r="E5" s="92"/>
      <c r="F5" s="78"/>
      <c r="G5" s="94"/>
      <c r="H5" s="78"/>
      <c r="K5" s="3"/>
    </row>
    <row r="6" spans="1:11" ht="24" customHeight="1" thickBot="1">
      <c r="A6" s="192"/>
      <c r="B6" s="95" t="s">
        <v>160</v>
      </c>
      <c r="C6" s="92"/>
      <c r="D6" s="93"/>
      <c r="E6" s="560">
        <f>G14</f>
        <v>535000</v>
      </c>
      <c r="F6" s="561"/>
      <c r="G6" s="78" t="s">
        <v>1</v>
      </c>
      <c r="H6" s="78"/>
      <c r="K6" s="3"/>
    </row>
    <row r="7" spans="1:11" ht="9" customHeight="1">
      <c r="A7" s="78"/>
      <c r="B7" s="78"/>
      <c r="C7" s="94"/>
      <c r="D7" s="78"/>
      <c r="E7" s="78"/>
      <c r="F7" s="78"/>
      <c r="G7" s="94"/>
      <c r="H7" s="78"/>
    </row>
    <row r="8" spans="1:11" ht="30" customHeight="1">
      <c r="A8" s="78"/>
      <c r="B8" s="494" t="s">
        <v>161</v>
      </c>
      <c r="C8" s="494"/>
      <c r="D8" s="337" t="s">
        <v>162</v>
      </c>
      <c r="E8" s="574" t="s">
        <v>29</v>
      </c>
      <c r="F8" s="575"/>
      <c r="G8" s="193" t="s">
        <v>30</v>
      </c>
      <c r="H8" s="318"/>
      <c r="I8" s="257" t="s">
        <v>175</v>
      </c>
    </row>
    <row r="9" spans="1:11" ht="30" customHeight="1">
      <c r="A9" s="78"/>
      <c r="B9" s="570" t="s">
        <v>339</v>
      </c>
      <c r="C9" s="571"/>
      <c r="D9" s="194">
        <v>5</v>
      </c>
      <c r="E9" s="572">
        <v>107000</v>
      </c>
      <c r="F9" s="573"/>
      <c r="G9" s="181">
        <f>D9*E9</f>
        <v>535000</v>
      </c>
      <c r="H9" s="287"/>
      <c r="I9" s="289"/>
    </row>
    <row r="10" spans="1:11" ht="30" customHeight="1">
      <c r="A10" s="78"/>
      <c r="B10" s="570"/>
      <c r="C10" s="571"/>
      <c r="D10" s="194"/>
      <c r="E10" s="572"/>
      <c r="F10" s="573"/>
      <c r="G10" s="181">
        <f t="shared" ref="G10:G12" si="0">D10*E10</f>
        <v>0</v>
      </c>
      <c r="H10" s="287"/>
      <c r="I10" s="289"/>
    </row>
    <row r="11" spans="1:11" ht="30" customHeight="1">
      <c r="A11" s="78"/>
      <c r="B11" s="570"/>
      <c r="C11" s="571"/>
      <c r="D11" s="194"/>
      <c r="E11" s="572"/>
      <c r="F11" s="573"/>
      <c r="G11" s="181">
        <f t="shared" si="0"/>
        <v>0</v>
      </c>
      <c r="H11" s="287"/>
      <c r="I11" s="289"/>
    </row>
    <row r="12" spans="1:11" ht="30" customHeight="1" thickBot="1">
      <c r="A12" s="78"/>
      <c r="B12" s="564"/>
      <c r="C12" s="565"/>
      <c r="D12" s="195"/>
      <c r="E12" s="566"/>
      <c r="F12" s="567"/>
      <c r="G12" s="319">
        <f t="shared" si="0"/>
        <v>0</v>
      </c>
      <c r="H12" s="287"/>
      <c r="I12" s="289"/>
    </row>
    <row r="13" spans="1:11" ht="30" customHeight="1" thickBot="1">
      <c r="A13" s="78"/>
      <c r="B13" s="568" t="s">
        <v>27</v>
      </c>
      <c r="C13" s="569"/>
      <c r="D13" s="569"/>
      <c r="E13" s="569"/>
      <c r="F13" s="569"/>
      <c r="G13" s="196">
        <f>SUM(G9:G12)</f>
        <v>535000</v>
      </c>
      <c r="H13" s="78"/>
    </row>
    <row r="14" spans="1:11" ht="30" customHeight="1" thickBot="1">
      <c r="A14" s="78"/>
      <c r="B14" s="197"/>
      <c r="C14" s="197"/>
      <c r="D14" s="198"/>
      <c r="E14" s="199"/>
      <c r="F14" s="83" t="s">
        <v>93</v>
      </c>
      <c r="G14" s="367">
        <f>ROUNDDOWN(G13,-3)</f>
        <v>535000</v>
      </c>
      <c r="H14" s="78"/>
    </row>
    <row r="15" spans="1:11" ht="15" thickBot="1">
      <c r="A15" s="78"/>
      <c r="B15" s="78"/>
      <c r="C15" s="94"/>
      <c r="D15" s="78"/>
      <c r="E15" s="78"/>
      <c r="F15" s="78"/>
      <c r="G15" s="94"/>
      <c r="H15" s="78"/>
    </row>
    <row r="16" spans="1:11" ht="20.25" customHeight="1" thickBot="1">
      <c r="A16" s="192"/>
      <c r="B16" s="95" t="s">
        <v>163</v>
      </c>
      <c r="C16" s="92"/>
      <c r="D16" s="93"/>
      <c r="E16" s="560">
        <f>G21</f>
        <v>453000</v>
      </c>
      <c r="F16" s="561"/>
      <c r="G16" s="97" t="s">
        <v>1</v>
      </c>
      <c r="H16" s="78"/>
      <c r="K16" s="3"/>
    </row>
    <row r="17" spans="1:11" customFormat="1" ht="11.25" customHeight="1">
      <c r="A17" s="96"/>
      <c r="B17" s="96"/>
      <c r="C17" s="96"/>
      <c r="D17" s="96"/>
      <c r="E17" s="96"/>
      <c r="F17" s="96"/>
      <c r="G17" s="96"/>
      <c r="H17" s="96"/>
    </row>
    <row r="18" spans="1:11" ht="18" customHeight="1">
      <c r="A18" s="192"/>
      <c r="B18" s="200">
        <v>75500</v>
      </c>
      <c r="C18" s="201" t="s">
        <v>1</v>
      </c>
      <c r="D18" s="202" t="s">
        <v>164</v>
      </c>
      <c r="E18" s="200">
        <v>6</v>
      </c>
      <c r="F18" s="95" t="s">
        <v>165</v>
      </c>
      <c r="G18" s="300">
        <f>B18*E18</f>
        <v>453000</v>
      </c>
      <c r="H18" s="78" t="s">
        <v>1</v>
      </c>
      <c r="K18" s="3"/>
    </row>
    <row r="19" spans="1:11" ht="18" customHeight="1">
      <c r="A19" s="192"/>
      <c r="B19" s="200">
        <v>69800</v>
      </c>
      <c r="C19" s="201" t="s">
        <v>1</v>
      </c>
      <c r="D19" s="202" t="s">
        <v>39</v>
      </c>
      <c r="E19" s="200">
        <v>0</v>
      </c>
      <c r="F19" s="95" t="s">
        <v>165</v>
      </c>
      <c r="G19" s="300">
        <f>B19*E19</f>
        <v>0</v>
      </c>
      <c r="H19" s="78" t="s">
        <v>1</v>
      </c>
      <c r="K19" s="3"/>
    </row>
    <row r="20" spans="1:11" ht="18" customHeight="1" thickBot="1">
      <c r="A20" s="192"/>
      <c r="B20" s="92"/>
      <c r="C20" s="201"/>
      <c r="D20" s="202"/>
      <c r="E20" s="92"/>
      <c r="F20" s="466" t="s">
        <v>386</v>
      </c>
      <c r="G20" s="301">
        <f>SUM(G18:G19)</f>
        <v>453000</v>
      </c>
      <c r="H20" s="78" t="s">
        <v>1</v>
      </c>
      <c r="K20" s="3"/>
    </row>
    <row r="21" spans="1:11" ht="20.25" customHeight="1" thickBot="1">
      <c r="A21" s="192"/>
      <c r="B21" s="336"/>
      <c r="C21" s="203"/>
      <c r="D21" s="204"/>
      <c r="E21" s="562" t="s">
        <v>93</v>
      </c>
      <c r="F21" s="562"/>
      <c r="G21" s="367">
        <f>ROUNDDOWN(G20,-3)</f>
        <v>453000</v>
      </c>
      <c r="H21" s="78" t="s">
        <v>1</v>
      </c>
      <c r="K21" s="3"/>
    </row>
    <row r="22" spans="1:11" ht="20.25" customHeight="1">
      <c r="A22" s="192"/>
      <c r="B22" s="336"/>
      <c r="C22" s="203"/>
      <c r="D22" s="204"/>
      <c r="E22" s="205"/>
      <c r="F22" s="204"/>
      <c r="G22" s="204"/>
      <c r="H22" s="78"/>
      <c r="K22" s="3"/>
    </row>
    <row r="23" spans="1:11" ht="21" customHeight="1" thickBot="1">
      <c r="A23" s="67" t="s">
        <v>58</v>
      </c>
      <c r="B23" s="67" t="s">
        <v>6</v>
      </c>
      <c r="C23" s="94"/>
      <c r="D23" s="78"/>
      <c r="E23" s="559">
        <f>G28</f>
        <v>980000</v>
      </c>
      <c r="F23" s="559"/>
      <c r="G23" s="97" t="s">
        <v>1</v>
      </c>
      <c r="H23" s="78"/>
    </row>
    <row r="24" spans="1:11" ht="30" customHeight="1" thickTop="1">
      <c r="A24" s="5"/>
      <c r="B24" s="6"/>
      <c r="C24" s="94"/>
      <c r="D24" s="78"/>
      <c r="E24" s="78"/>
      <c r="F24" s="78"/>
      <c r="G24" s="94"/>
      <c r="H24" s="78"/>
    </row>
    <row r="25" spans="1:11" ht="30" customHeight="1">
      <c r="A25" s="78"/>
      <c r="B25" s="78" t="s">
        <v>190</v>
      </c>
      <c r="C25" s="119"/>
      <c r="D25" s="78"/>
      <c r="E25" s="78" t="s">
        <v>44</v>
      </c>
      <c r="F25" s="78"/>
      <c r="G25" s="94"/>
      <c r="H25" s="78"/>
    </row>
    <row r="26" spans="1:11" ht="20.25" customHeight="1">
      <c r="A26" s="78"/>
      <c r="B26" s="446" t="s">
        <v>166</v>
      </c>
      <c r="C26" s="119"/>
      <c r="D26" s="78"/>
      <c r="E26" s="78"/>
      <c r="F26" s="78"/>
      <c r="G26" s="94"/>
      <c r="H26" s="78"/>
    </row>
    <row r="27" spans="1:11" ht="30" customHeight="1" thickBot="1">
      <c r="A27" s="267"/>
      <c r="B27" s="563">
        <f>様式2_3機材!$E$5+様式2_4旅費!$F$4+様式2_4旅費!$F$6+様式2_5現地活動費!$E$3+'様式2_6本邦受入活動費&amp;管理費'!$E$6</f>
        <v>9804000</v>
      </c>
      <c r="C27" s="563">
        <f>$E$5+様式2_4旅費!$F$4+様式2_4旅費!$F$6+様式2_5現地活動費!$E$3+'様式2_6本邦受入活動費&amp;管理費'!$E$6</f>
        <v>7154000</v>
      </c>
      <c r="D27" s="78" t="s">
        <v>32</v>
      </c>
      <c r="E27" s="98">
        <v>10</v>
      </c>
      <c r="F27" s="99" t="s">
        <v>167</v>
      </c>
      <c r="G27" s="302">
        <f>ROUNDDOWN(B27*E27/100,0)</f>
        <v>980400</v>
      </c>
      <c r="H27" s="78" t="s">
        <v>1</v>
      </c>
    </row>
    <row r="28" spans="1:11" ht="30" customHeight="1" thickBot="1">
      <c r="A28" s="78"/>
      <c r="B28" s="78"/>
      <c r="C28" s="94"/>
      <c r="D28" s="78"/>
      <c r="E28" s="562" t="s">
        <v>93</v>
      </c>
      <c r="F28" s="562"/>
      <c r="G28" s="122">
        <f>ROUNDDOWN(G27,-3)</f>
        <v>980000</v>
      </c>
      <c r="H28" s="97" t="s">
        <v>47</v>
      </c>
    </row>
    <row r="29" spans="1:11">
      <c r="A29" s="286"/>
      <c r="B29" s="286"/>
      <c r="C29" s="299"/>
      <c r="D29" s="286"/>
      <c r="E29" s="286"/>
      <c r="F29" s="286"/>
      <c r="G29" s="299"/>
      <c r="H29" s="286"/>
    </row>
    <row r="30" spans="1:11">
      <c r="A30" s="286"/>
      <c r="B30" s="286"/>
      <c r="C30" s="299"/>
      <c r="D30" s="286"/>
      <c r="E30" s="286"/>
      <c r="F30" s="286"/>
      <c r="G30" s="299"/>
      <c r="H30" s="286"/>
    </row>
  </sheetData>
  <mergeCells count="18">
    <mergeCell ref="B11:C11"/>
    <mergeCell ref="E11:F11"/>
    <mergeCell ref="B8:C8"/>
    <mergeCell ref="E8:F8"/>
    <mergeCell ref="B9:C9"/>
    <mergeCell ref="E9:F9"/>
    <mergeCell ref="B10:C10"/>
    <mergeCell ref="E10:F10"/>
    <mergeCell ref="B27:C27"/>
    <mergeCell ref="E28:F28"/>
    <mergeCell ref="B12:C12"/>
    <mergeCell ref="E12:F12"/>
    <mergeCell ref="B13:F13"/>
    <mergeCell ref="E4:F4"/>
    <mergeCell ref="E6:F6"/>
    <mergeCell ref="E16:F16"/>
    <mergeCell ref="E23:F23"/>
    <mergeCell ref="E21:F21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  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  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2017-08-15T08:40:05Z</cp:lastPrinted>
  <dcterms:created xsi:type="dcterms:W3CDTF">2013-03-18T00:38:39Z</dcterms:created>
  <dcterms:modified xsi:type="dcterms:W3CDTF">2017-10-06T01:07:37Z</dcterms:modified>
</cp:coreProperties>
</file>